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D889F26E-2C87-4CFC-BC4A-4E08DDFCD88E}" xr6:coauthVersionLast="47" xr6:coauthVersionMax="47" xr10:uidLastSave="{00000000-0000-0000-0000-000000000000}"/>
  <bookViews>
    <workbookView xWindow="-120" yWindow="-120" windowWidth="29040" windowHeight="17640" tabRatio="718" xr2:uid="{00000000-000D-0000-FFFF-FFFF00000000}"/>
  </bookViews>
  <sheets>
    <sheet name="Navigation Pane" sheetId="1" r:id="rId1"/>
    <sheet name="General Input Sheet" sheetId="2" r:id="rId2"/>
    <sheet name="Existing Trunk Assets - LFCF" sheetId="54" r:id="rId3"/>
    <sheet name="Future Trunk Assets - LFCF" sheetId="39" r:id="rId4"/>
    <sheet name="Catchment Demand - LFCF" sheetId="23" r:id="rId5"/>
    <sheet name="Summary Cost Schedule" sheetId="9" r:id="rId6"/>
  </sheets>
  <definedNames>
    <definedName name="_xlnm._FilterDatabase" localSheetId="3" hidden="1">'Future Trunk Assets - LFCF'!$AV$15:$BA$27</definedName>
    <definedName name="AssetBeta">'General Input Sheet'!$G$27</definedName>
    <definedName name="CapStr">'General Input Sheet'!$G$25</definedName>
    <definedName name="CatchName" localSheetId="4">'Catchment Demand - LFCF'!$C$8:$C$14</definedName>
    <definedName name="Chargeind">'General Input Sheet'!#REF!</definedName>
    <definedName name="CHGOPTION">#REF!</definedName>
    <definedName name="Debt">'General Input Sheet'!$G$28</definedName>
    <definedName name="Histindex">'General Input Sheet'!$E$38:$G$48</definedName>
    <definedName name="ICSInf" localSheetId="4">'General Input Sheet'!$G$67</definedName>
    <definedName name="ICSInf">'General Input Sheet'!$G$65</definedName>
    <definedName name="Landind">'General Input Sheet'!$G$51</definedName>
    <definedName name="MArgin">'General Input Sheet'!$G$21</definedName>
    <definedName name="Parkscatch">'Catchment Demand - LFCF'!$C$8:$H$14</definedName>
    <definedName name="parkslandcode">#REF!</definedName>
    <definedName name="PPI">'General Input Sheet'!$G$35</definedName>
    <definedName name="_xlnm.Print_Area" localSheetId="4">'Catchment Demand - LFCF'!$A$1:$T$25</definedName>
    <definedName name="_xlnm.Print_Area" localSheetId="2">'Existing Trunk Assets - LFCF'!$A$1:$AH$92</definedName>
    <definedName name="_xlnm.Print_Area" localSheetId="3">'Future Trunk Assets - LFCF'!$A$2:$BA$27</definedName>
    <definedName name="_xlnm.Print_Area" localSheetId="1">'General Input Sheet'!$A$1:$L$68</definedName>
    <definedName name="_xlnm.Print_Area" localSheetId="0">'Navigation Pane'!$A$1:$P$24</definedName>
    <definedName name="_xlnm.Print_Area" localSheetId="5">'Summary Cost Schedule'!$A$1:$J$14</definedName>
    <definedName name="_xlnm.Print_Titles" localSheetId="2">'Existing Trunk Assets - LFCF'!$C:$C,'Existing Trunk Assets - LFCF'!$8:$12</definedName>
    <definedName name="_xlnm.Print_Titles" localSheetId="3">'Future Trunk Assets - LFCF'!$C:$C</definedName>
    <definedName name="Risk">'General Input Sheet'!$G$26</definedName>
    <definedName name="SENS" localSheetId="4">'General Input Sheet'!$G$34</definedName>
    <definedName name="TENYr">'General Input Sheet'!$G$19</definedName>
    <definedName name="WACC">'General Input Sheet'!$G$32</definedName>
    <definedName name="WACC1">'General Input Sheet'!$G$23</definedName>
    <definedName name="WACC2">'General Input Sheet'!$G$30</definedName>
    <definedName name="YEAR">'General Input Sheet'!$G$8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39" l="1"/>
  <c r="O15" i="39"/>
  <c r="O16" i="39"/>
  <c r="O17" i="39"/>
  <c r="O18" i="39"/>
  <c r="O19" i="39"/>
  <c r="O20" i="39"/>
  <c r="O21" i="39"/>
  <c r="O22" i="39"/>
  <c r="O23" i="39"/>
  <c r="O24" i="39"/>
  <c r="O25" i="39"/>
  <c r="O26" i="39"/>
  <c r="O27" i="39"/>
  <c r="AM27" i="39" l="1"/>
  <c r="AL27" i="39"/>
  <c r="AK27" i="39"/>
  <c r="AJ27" i="39"/>
  <c r="AI27" i="39"/>
  <c r="AM26" i="39"/>
  <c r="AL26" i="39"/>
  <c r="AK26" i="39"/>
  <c r="AJ26" i="39"/>
  <c r="AI26" i="39"/>
  <c r="AM25" i="39"/>
  <c r="AL25" i="39"/>
  <c r="AK25" i="39"/>
  <c r="AJ25" i="39"/>
  <c r="AI25" i="39"/>
  <c r="AM24" i="39"/>
  <c r="AL24" i="39"/>
  <c r="AK24" i="39"/>
  <c r="AJ24" i="39"/>
  <c r="AI24" i="39"/>
  <c r="AM23" i="39"/>
  <c r="AL23" i="39"/>
  <c r="AK23" i="39"/>
  <c r="AJ23" i="39"/>
  <c r="AI23" i="39"/>
  <c r="AM22" i="39"/>
  <c r="AL22" i="39"/>
  <c r="AK22" i="39"/>
  <c r="AJ22" i="39"/>
  <c r="AI22" i="39"/>
  <c r="AM21" i="39"/>
  <c r="AL21" i="39"/>
  <c r="AK21" i="39"/>
  <c r="AJ21" i="39"/>
  <c r="AI21" i="39"/>
  <c r="AM20" i="39"/>
  <c r="AL20" i="39"/>
  <c r="AK20" i="39"/>
  <c r="AJ20" i="39"/>
  <c r="AI20" i="39"/>
  <c r="AM19" i="39"/>
  <c r="AL19" i="39"/>
  <c r="AK19" i="39"/>
  <c r="AJ19" i="39"/>
  <c r="AI19" i="39"/>
  <c r="AM18" i="39"/>
  <c r="AL18" i="39"/>
  <c r="AK18" i="39"/>
  <c r="AJ18" i="39"/>
  <c r="AI18" i="39"/>
  <c r="AM17" i="39"/>
  <c r="AL17" i="39"/>
  <c r="AK17" i="39"/>
  <c r="AJ17" i="39"/>
  <c r="AI17" i="39"/>
  <c r="AM16" i="39"/>
  <c r="AL16" i="39"/>
  <c r="AK16" i="39"/>
  <c r="AJ16" i="39"/>
  <c r="AI16" i="39"/>
  <c r="AM15" i="39"/>
  <c r="AL15" i="39"/>
  <c r="AK15" i="39"/>
  <c r="AJ15" i="39"/>
  <c r="AI15" i="39"/>
  <c r="AG27" i="39"/>
  <c r="AF27" i="39"/>
  <c r="AE27" i="39"/>
  <c r="AD27" i="39"/>
  <c r="AC27" i="39"/>
  <c r="AG26" i="39"/>
  <c r="AF26" i="39"/>
  <c r="AE26" i="39"/>
  <c r="AD26" i="39"/>
  <c r="AC26" i="39"/>
  <c r="AG25" i="39"/>
  <c r="AF25" i="39"/>
  <c r="AE25" i="39"/>
  <c r="AD25" i="39"/>
  <c r="AC25" i="39"/>
  <c r="AG24" i="39"/>
  <c r="AF24" i="39"/>
  <c r="AE24" i="39"/>
  <c r="AD24" i="39"/>
  <c r="AC24" i="39"/>
  <c r="AG23" i="39"/>
  <c r="AF23" i="39"/>
  <c r="AE23" i="39"/>
  <c r="AD23" i="39"/>
  <c r="AC23" i="39"/>
  <c r="AG22" i="39"/>
  <c r="AF22" i="39"/>
  <c r="AE22" i="39"/>
  <c r="AD22" i="39"/>
  <c r="AC22" i="39"/>
  <c r="AG21" i="39"/>
  <c r="AF21" i="39"/>
  <c r="AE21" i="39"/>
  <c r="AD21" i="39"/>
  <c r="AC21" i="39"/>
  <c r="AG20" i="39"/>
  <c r="AF20" i="39"/>
  <c r="AE20" i="39"/>
  <c r="AD20" i="39"/>
  <c r="AC20" i="39"/>
  <c r="AG19" i="39"/>
  <c r="AF19" i="39"/>
  <c r="AE19" i="39"/>
  <c r="AD19" i="39"/>
  <c r="AC19" i="39"/>
  <c r="AG18" i="39"/>
  <c r="AF18" i="39"/>
  <c r="AE18" i="39"/>
  <c r="AD18" i="39"/>
  <c r="AC18" i="39"/>
  <c r="AG17" i="39"/>
  <c r="AF17" i="39"/>
  <c r="AE17" i="39"/>
  <c r="AD17" i="39"/>
  <c r="AC17" i="39"/>
  <c r="AG16" i="39"/>
  <c r="AF16" i="39"/>
  <c r="AE16" i="39"/>
  <c r="AD16" i="39"/>
  <c r="AC16" i="39"/>
  <c r="AG15" i="39"/>
  <c r="AF15" i="39"/>
  <c r="AE15" i="39"/>
  <c r="AD15" i="39"/>
  <c r="AC15" i="39"/>
  <c r="I23" i="39"/>
  <c r="I20" i="39" l="1"/>
  <c r="J7" i="23"/>
  <c r="M9" i="23" l="1"/>
  <c r="M10" i="23"/>
  <c r="M11" i="23"/>
  <c r="M12" i="23"/>
  <c r="M8" i="23"/>
  <c r="N24" i="23" l="1"/>
  <c r="N23" i="23"/>
  <c r="N22" i="23"/>
  <c r="N21" i="23"/>
  <c r="N20" i="23"/>
  <c r="S24" i="23"/>
  <c r="S23" i="23"/>
  <c r="S22" i="23"/>
  <c r="S21" i="23"/>
  <c r="S20" i="23"/>
  <c r="R24" i="23"/>
  <c r="R23" i="23"/>
  <c r="R22" i="23"/>
  <c r="R21" i="23"/>
  <c r="R20" i="23"/>
  <c r="Q24" i="23"/>
  <c r="Q23" i="23"/>
  <c r="Q22" i="23"/>
  <c r="Q21" i="23"/>
  <c r="Q20" i="23"/>
  <c r="P24" i="23"/>
  <c r="P23" i="23"/>
  <c r="P22" i="23"/>
  <c r="P21" i="23"/>
  <c r="P20" i="23"/>
  <c r="O24" i="23"/>
  <c r="O23" i="23"/>
  <c r="O22" i="23"/>
  <c r="O21" i="23"/>
  <c r="O20" i="23"/>
  <c r="M24" i="23"/>
  <c r="M23" i="23"/>
  <c r="M22" i="23"/>
  <c r="M21" i="23"/>
  <c r="M20" i="23"/>
  <c r="L24" i="23"/>
  <c r="L23" i="23"/>
  <c r="L22" i="23"/>
  <c r="L21" i="23"/>
  <c r="L20" i="23"/>
  <c r="K24" i="23"/>
  <c r="K23" i="23"/>
  <c r="K22" i="23"/>
  <c r="K21" i="23"/>
  <c r="K20" i="23"/>
  <c r="I24" i="23"/>
  <c r="I23" i="23"/>
  <c r="I22" i="23"/>
  <c r="I21" i="23"/>
  <c r="I20" i="23"/>
  <c r="H24" i="23"/>
  <c r="H23" i="23"/>
  <c r="H22" i="23"/>
  <c r="H21" i="23"/>
  <c r="H20" i="23"/>
  <c r="G24" i="23"/>
  <c r="G23" i="23"/>
  <c r="G22" i="23"/>
  <c r="G21" i="23"/>
  <c r="G20" i="23"/>
  <c r="F24" i="23"/>
  <c r="F23" i="23"/>
  <c r="F22" i="23"/>
  <c r="F21" i="23"/>
  <c r="F20" i="23"/>
  <c r="J21" i="23"/>
  <c r="J22" i="23"/>
  <c r="J23" i="23"/>
  <c r="J24" i="23"/>
  <c r="J20" i="23"/>
  <c r="E21" i="23"/>
  <c r="J9" i="23" s="1"/>
  <c r="E22" i="23"/>
  <c r="J10" i="23" s="1"/>
  <c r="E23" i="23"/>
  <c r="J11" i="23" s="1"/>
  <c r="E24" i="23"/>
  <c r="J12" i="23" s="1"/>
  <c r="E20" i="23"/>
  <c r="J8" i="23" l="1"/>
  <c r="AW27" i="39"/>
  <c r="AS27" i="39"/>
  <c r="AT27" i="39"/>
  <c r="Q14" i="54"/>
  <c r="W14" i="54" s="1"/>
  <c r="R14" i="54"/>
  <c r="X14" i="54" s="1"/>
  <c r="AE14" i="54" s="1"/>
  <c r="S14" i="54"/>
  <c r="Y14" i="54" s="1"/>
  <c r="AF14" i="54" s="1"/>
  <c r="T14" i="54"/>
  <c r="Z14" i="54" s="1"/>
  <c r="U14" i="54"/>
  <c r="AA14" i="54"/>
  <c r="AH14" i="54" s="1"/>
  <c r="Q15" i="54"/>
  <c r="W15" i="54" s="1"/>
  <c r="R15" i="54"/>
  <c r="X15" i="54" s="1"/>
  <c r="AE15" i="54" s="1"/>
  <c r="S15" i="54"/>
  <c r="T15" i="54"/>
  <c r="Z15" i="54" s="1"/>
  <c r="AG15" i="54" s="1"/>
  <c r="U15" i="54"/>
  <c r="AA15" i="54" s="1"/>
  <c r="AH15" i="54" s="1"/>
  <c r="Y15" i="54"/>
  <c r="Q16" i="54"/>
  <c r="W16" i="54" s="1"/>
  <c r="R16" i="54"/>
  <c r="X16" i="54" s="1"/>
  <c r="AE16" i="54" s="1"/>
  <c r="S16" i="54"/>
  <c r="T16" i="54"/>
  <c r="Z16" i="54" s="1"/>
  <c r="AG16" i="54" s="1"/>
  <c r="U16" i="54"/>
  <c r="AA16" i="54" s="1"/>
  <c r="AH16" i="54" s="1"/>
  <c r="Y16" i="54"/>
  <c r="Q17" i="54"/>
  <c r="W17" i="54" s="1"/>
  <c r="R17" i="54"/>
  <c r="X17" i="54" s="1"/>
  <c r="AE17" i="54" s="1"/>
  <c r="S17" i="54"/>
  <c r="Y17" i="54" s="1"/>
  <c r="T17" i="54"/>
  <c r="Z17" i="54" s="1"/>
  <c r="AG17" i="54" s="1"/>
  <c r="U17" i="54"/>
  <c r="AA17" i="54" s="1"/>
  <c r="AH17" i="54" s="1"/>
  <c r="Q18" i="54"/>
  <c r="R18" i="54"/>
  <c r="X18" i="54" s="1"/>
  <c r="AE18" i="54" s="1"/>
  <c r="S18" i="54"/>
  <c r="Y18" i="54" s="1"/>
  <c r="T18" i="54"/>
  <c r="Z18" i="54" s="1"/>
  <c r="AG18" i="54" s="1"/>
  <c r="U18" i="54"/>
  <c r="AA18" i="54" s="1"/>
  <c r="AH18" i="54" s="1"/>
  <c r="W18" i="54"/>
  <c r="Q19" i="54"/>
  <c r="W19" i="54" s="1"/>
  <c r="R19" i="54"/>
  <c r="X19" i="54" s="1"/>
  <c r="AE19" i="54" s="1"/>
  <c r="S19" i="54"/>
  <c r="T19" i="54"/>
  <c r="Z19" i="54" s="1"/>
  <c r="AG19" i="54" s="1"/>
  <c r="U19" i="54"/>
  <c r="AA19" i="54" s="1"/>
  <c r="Y19" i="54"/>
  <c r="AF19" i="54" s="1"/>
  <c r="Q20" i="54"/>
  <c r="W20" i="54" s="1"/>
  <c r="R20" i="54"/>
  <c r="X20" i="54" s="1"/>
  <c r="AE20" i="54" s="1"/>
  <c r="S20" i="54"/>
  <c r="Y20" i="54" s="1"/>
  <c r="AF20" i="54" s="1"/>
  <c r="T20" i="54"/>
  <c r="Z20" i="54" s="1"/>
  <c r="AG20" i="54" s="1"/>
  <c r="U20" i="54"/>
  <c r="AA20" i="54" s="1"/>
  <c r="Q21" i="54"/>
  <c r="R21" i="54"/>
  <c r="S21" i="54"/>
  <c r="T21" i="54"/>
  <c r="Z21" i="54" s="1"/>
  <c r="AG21" i="54" s="1"/>
  <c r="U21" i="54"/>
  <c r="AA21" i="54" s="1"/>
  <c r="AH21" i="54" s="1"/>
  <c r="W21" i="54"/>
  <c r="X21" i="54"/>
  <c r="Y21" i="54"/>
  <c r="AF21" i="54" s="1"/>
  <c r="Q22" i="54"/>
  <c r="W22" i="54" s="1"/>
  <c r="R22" i="54"/>
  <c r="X22" i="54" s="1"/>
  <c r="AE22" i="54" s="1"/>
  <c r="S22" i="54"/>
  <c r="T22" i="54"/>
  <c r="Z22" i="54" s="1"/>
  <c r="U22" i="54"/>
  <c r="AA22" i="54" s="1"/>
  <c r="AH22" i="54" s="1"/>
  <c r="Y22" i="54"/>
  <c r="AF22" i="54" s="1"/>
  <c r="Q23" i="54"/>
  <c r="W23" i="54" s="1"/>
  <c r="R23" i="54"/>
  <c r="X23" i="54" s="1"/>
  <c r="S23" i="54"/>
  <c r="Y23" i="54" s="1"/>
  <c r="AF23" i="54" s="1"/>
  <c r="T23" i="54"/>
  <c r="Z23" i="54" s="1"/>
  <c r="AG23" i="54" s="1"/>
  <c r="U23" i="54"/>
  <c r="AA23" i="54"/>
  <c r="AH23" i="54" s="1"/>
  <c r="Q24" i="54"/>
  <c r="W24" i="54" s="1"/>
  <c r="AB24" i="54" s="1"/>
  <c r="R24" i="54"/>
  <c r="S24" i="54"/>
  <c r="T24" i="54"/>
  <c r="Z24" i="54" s="1"/>
  <c r="AG24" i="54" s="1"/>
  <c r="U24" i="54"/>
  <c r="AA24" i="54" s="1"/>
  <c r="AH24" i="54" s="1"/>
  <c r="X24" i="54"/>
  <c r="Y24" i="54"/>
  <c r="AF24" i="54" s="1"/>
  <c r="Q25" i="54"/>
  <c r="W25" i="54" s="1"/>
  <c r="R25" i="54"/>
  <c r="X25" i="54" s="1"/>
  <c r="AE25" i="54" s="1"/>
  <c r="S25" i="54"/>
  <c r="Y25" i="54" s="1"/>
  <c r="AF25" i="54" s="1"/>
  <c r="T25" i="54"/>
  <c r="Z25" i="54" s="1"/>
  <c r="U25" i="54"/>
  <c r="AA25" i="54" s="1"/>
  <c r="AH25" i="54" s="1"/>
  <c r="Q26" i="54"/>
  <c r="W26" i="54" s="1"/>
  <c r="R26" i="54"/>
  <c r="X26" i="54" s="1"/>
  <c r="AE26" i="54" s="1"/>
  <c r="S26" i="54"/>
  <c r="Y26" i="54" s="1"/>
  <c r="AF26" i="54" s="1"/>
  <c r="T26" i="54"/>
  <c r="Z26" i="54" s="1"/>
  <c r="U26" i="54"/>
  <c r="AA26" i="54" s="1"/>
  <c r="AH26" i="54" s="1"/>
  <c r="Q27" i="54"/>
  <c r="W27" i="54" s="1"/>
  <c r="R27" i="54"/>
  <c r="X27" i="54" s="1"/>
  <c r="AE27" i="54" s="1"/>
  <c r="S27" i="54"/>
  <c r="Y27" i="54" s="1"/>
  <c r="AF27" i="54" s="1"/>
  <c r="T27" i="54"/>
  <c r="Z27" i="54" s="1"/>
  <c r="U27" i="54"/>
  <c r="AA27" i="54" s="1"/>
  <c r="AH27" i="54" s="1"/>
  <c r="Q28" i="54"/>
  <c r="W28" i="54" s="1"/>
  <c r="R28" i="54"/>
  <c r="X28" i="54" s="1"/>
  <c r="AE28" i="54" s="1"/>
  <c r="S28" i="54"/>
  <c r="T28" i="54"/>
  <c r="Z28" i="54" s="1"/>
  <c r="AG28" i="54" s="1"/>
  <c r="U28" i="54"/>
  <c r="AA28" i="54" s="1"/>
  <c r="AH28" i="54" s="1"/>
  <c r="Y28" i="54"/>
  <c r="Q29" i="54"/>
  <c r="W29" i="54" s="1"/>
  <c r="R29" i="54"/>
  <c r="X29" i="54" s="1"/>
  <c r="AE29" i="54" s="1"/>
  <c r="S29" i="54"/>
  <c r="Y29" i="54" s="1"/>
  <c r="AF29" i="54" s="1"/>
  <c r="T29" i="54"/>
  <c r="Z29" i="54" s="1"/>
  <c r="U29" i="54"/>
  <c r="AA29" i="54"/>
  <c r="AH29" i="54" s="1"/>
  <c r="Q30" i="54"/>
  <c r="R30" i="54"/>
  <c r="S30" i="54"/>
  <c r="Y30" i="54" s="1"/>
  <c r="AF30" i="54" s="1"/>
  <c r="T30" i="54"/>
  <c r="Z30" i="54" s="1"/>
  <c r="AG30" i="54" s="1"/>
  <c r="U30" i="54"/>
  <c r="AA30" i="54" s="1"/>
  <c r="W30" i="54"/>
  <c r="X30" i="54"/>
  <c r="AE30" i="54" s="1"/>
  <c r="Q31" i="54"/>
  <c r="W31" i="54" s="1"/>
  <c r="R31" i="54"/>
  <c r="X31" i="54" s="1"/>
  <c r="AE31" i="54" s="1"/>
  <c r="S31" i="54"/>
  <c r="T31" i="54"/>
  <c r="Z31" i="54" s="1"/>
  <c r="AG31" i="54" s="1"/>
  <c r="U31" i="54"/>
  <c r="AA31" i="54" s="1"/>
  <c r="AH31" i="54" s="1"/>
  <c r="Y31" i="54"/>
  <c r="Q32" i="54"/>
  <c r="W32" i="54" s="1"/>
  <c r="R32" i="54"/>
  <c r="X32" i="54" s="1"/>
  <c r="AE32" i="54" s="1"/>
  <c r="S32" i="54"/>
  <c r="Y32" i="54" s="1"/>
  <c r="AF32" i="54" s="1"/>
  <c r="T32" i="54"/>
  <c r="Z32" i="54" s="1"/>
  <c r="U32" i="54"/>
  <c r="AA32" i="54" s="1"/>
  <c r="AH32" i="54" s="1"/>
  <c r="Q33" i="54"/>
  <c r="R33" i="54"/>
  <c r="S33" i="54"/>
  <c r="T33" i="54"/>
  <c r="Z33" i="54" s="1"/>
  <c r="U33" i="54"/>
  <c r="AA33" i="54" s="1"/>
  <c r="AH33" i="54" s="1"/>
  <c r="W33" i="54"/>
  <c r="X33" i="54"/>
  <c r="AE33" i="54" s="1"/>
  <c r="Y33" i="54"/>
  <c r="AF33" i="54" s="1"/>
  <c r="Q34" i="54"/>
  <c r="W34" i="54" s="1"/>
  <c r="R34" i="54"/>
  <c r="X34" i="54" s="1"/>
  <c r="AE34" i="54" s="1"/>
  <c r="S34" i="54"/>
  <c r="Y34" i="54" s="1"/>
  <c r="T34" i="54"/>
  <c r="Z34" i="54" s="1"/>
  <c r="AG34" i="54" s="1"/>
  <c r="U34" i="54"/>
  <c r="AA34" i="54" s="1"/>
  <c r="AH34" i="54" s="1"/>
  <c r="Q35" i="54"/>
  <c r="W35" i="54" s="1"/>
  <c r="R35" i="54"/>
  <c r="X35" i="54" s="1"/>
  <c r="AE35" i="54" s="1"/>
  <c r="S35" i="54"/>
  <c r="Y35" i="54" s="1"/>
  <c r="AF35" i="54" s="1"/>
  <c r="T35" i="54"/>
  <c r="Z35" i="54" s="1"/>
  <c r="U35" i="54"/>
  <c r="AA35" i="54" s="1"/>
  <c r="AH35" i="54" s="1"/>
  <c r="Q36" i="54"/>
  <c r="W36" i="54" s="1"/>
  <c r="R36" i="54"/>
  <c r="X36" i="54" s="1"/>
  <c r="S36" i="54"/>
  <c r="Y36" i="54" s="1"/>
  <c r="AF36" i="54" s="1"/>
  <c r="T36" i="54"/>
  <c r="Z36" i="54" s="1"/>
  <c r="AG36" i="54" s="1"/>
  <c r="U36" i="54"/>
  <c r="AA36" i="54" s="1"/>
  <c r="AH36" i="54" s="1"/>
  <c r="Q37" i="54"/>
  <c r="W37" i="54" s="1"/>
  <c r="R37" i="54"/>
  <c r="X37" i="54" s="1"/>
  <c r="AE37" i="54" s="1"/>
  <c r="S37" i="54"/>
  <c r="T37" i="54"/>
  <c r="Z37" i="54" s="1"/>
  <c r="U37" i="54"/>
  <c r="AA37" i="54" s="1"/>
  <c r="AH37" i="54" s="1"/>
  <c r="Y37" i="54"/>
  <c r="AF37" i="54"/>
  <c r="Q38" i="54"/>
  <c r="W38" i="54" s="1"/>
  <c r="R38" i="54"/>
  <c r="X38" i="54" s="1"/>
  <c r="S38" i="54"/>
  <c r="Y38" i="54" s="1"/>
  <c r="AF38" i="54" s="1"/>
  <c r="T38" i="54"/>
  <c r="Z38" i="54" s="1"/>
  <c r="AG38" i="54" s="1"/>
  <c r="U38" i="54"/>
  <c r="AA38" i="54" s="1"/>
  <c r="AH38" i="54" s="1"/>
  <c r="Q39" i="54"/>
  <c r="R39" i="54"/>
  <c r="X39" i="54" s="1"/>
  <c r="AE39" i="54" s="1"/>
  <c r="S39" i="54"/>
  <c r="Y39" i="54" s="1"/>
  <c r="T39" i="54"/>
  <c r="Z39" i="54" s="1"/>
  <c r="AG39" i="54" s="1"/>
  <c r="U39" i="54"/>
  <c r="AA39" i="54" s="1"/>
  <c r="AH39" i="54" s="1"/>
  <c r="W39" i="54"/>
  <c r="Q40" i="54"/>
  <c r="W40" i="54" s="1"/>
  <c r="R40" i="54"/>
  <c r="X40" i="54" s="1"/>
  <c r="AE40" i="54" s="1"/>
  <c r="S40" i="54"/>
  <c r="T40" i="54"/>
  <c r="Z40" i="54" s="1"/>
  <c r="AG40" i="54" s="1"/>
  <c r="U40" i="54"/>
  <c r="AA40" i="54" s="1"/>
  <c r="AH40" i="54" s="1"/>
  <c r="Y40" i="54"/>
  <c r="Q41" i="54"/>
  <c r="W41" i="54" s="1"/>
  <c r="R41" i="54"/>
  <c r="X41" i="54" s="1"/>
  <c r="AE41" i="54" s="1"/>
  <c r="S41" i="54"/>
  <c r="Y41" i="54" s="1"/>
  <c r="T41" i="54"/>
  <c r="Z41" i="54" s="1"/>
  <c r="AG41" i="54" s="1"/>
  <c r="U41" i="54"/>
  <c r="AA41" i="54" s="1"/>
  <c r="AH41" i="54" s="1"/>
  <c r="Q42" i="54"/>
  <c r="R42" i="54"/>
  <c r="S42" i="54"/>
  <c r="T42" i="54"/>
  <c r="Z42" i="54" s="1"/>
  <c r="AG42" i="54" s="1"/>
  <c r="U42" i="54"/>
  <c r="AA42" i="54" s="1"/>
  <c r="AH42" i="54" s="1"/>
  <c r="W42" i="54"/>
  <c r="X42" i="54"/>
  <c r="AE42" i="54" s="1"/>
  <c r="Y42" i="54"/>
  <c r="Q43" i="54"/>
  <c r="W43" i="54" s="1"/>
  <c r="R43" i="54"/>
  <c r="X43" i="54" s="1"/>
  <c r="AE43" i="54" s="1"/>
  <c r="S43" i="54"/>
  <c r="T43" i="54"/>
  <c r="Z43" i="54" s="1"/>
  <c r="AG43" i="54" s="1"/>
  <c r="U43" i="54"/>
  <c r="AA43" i="54" s="1"/>
  <c r="Y43" i="54"/>
  <c r="AF43" i="54"/>
  <c r="Q44" i="54"/>
  <c r="W44" i="54" s="1"/>
  <c r="R44" i="54"/>
  <c r="X44" i="54" s="1"/>
  <c r="S44" i="54"/>
  <c r="Y44" i="54" s="1"/>
  <c r="AF44" i="54" s="1"/>
  <c r="T44" i="54"/>
  <c r="Z44" i="54" s="1"/>
  <c r="AG44" i="54" s="1"/>
  <c r="U44" i="54"/>
  <c r="AA44" i="54"/>
  <c r="AH44" i="54" s="1"/>
  <c r="Q45" i="54"/>
  <c r="W45" i="54" s="1"/>
  <c r="R45" i="54"/>
  <c r="S45" i="54"/>
  <c r="T45" i="54"/>
  <c r="Z45" i="54" s="1"/>
  <c r="AG45" i="54" s="1"/>
  <c r="U45" i="54"/>
  <c r="AA45" i="54" s="1"/>
  <c r="X45" i="54"/>
  <c r="AE45" i="54" s="1"/>
  <c r="Y45" i="54"/>
  <c r="AF45" i="54" s="1"/>
  <c r="Q46" i="54"/>
  <c r="W46" i="54" s="1"/>
  <c r="R46" i="54"/>
  <c r="X46" i="54" s="1"/>
  <c r="S46" i="54"/>
  <c r="Y46" i="54" s="1"/>
  <c r="AF46" i="54" s="1"/>
  <c r="T46" i="54"/>
  <c r="Z46" i="54" s="1"/>
  <c r="AG46" i="54" s="1"/>
  <c r="U46" i="54"/>
  <c r="AA46" i="54" s="1"/>
  <c r="AH46" i="54" s="1"/>
  <c r="Q47" i="54"/>
  <c r="W47" i="54" s="1"/>
  <c r="R47" i="54"/>
  <c r="X47" i="54" s="1"/>
  <c r="S47" i="54"/>
  <c r="Y47" i="54" s="1"/>
  <c r="AF47" i="54" s="1"/>
  <c r="T47" i="54"/>
  <c r="Z47" i="54" s="1"/>
  <c r="AG47" i="54" s="1"/>
  <c r="U47" i="54"/>
  <c r="AA47" i="54"/>
  <c r="AH47" i="54" s="1"/>
  <c r="Q48" i="54"/>
  <c r="W48" i="54" s="1"/>
  <c r="R48" i="54"/>
  <c r="X48" i="54" s="1"/>
  <c r="AE48" i="54" s="1"/>
  <c r="S48" i="54"/>
  <c r="Y48" i="54" s="1"/>
  <c r="T48" i="54"/>
  <c r="Z48" i="54" s="1"/>
  <c r="AG48" i="54" s="1"/>
  <c r="U48" i="54"/>
  <c r="AA48" i="54" s="1"/>
  <c r="AH48" i="54" s="1"/>
  <c r="Q49" i="54"/>
  <c r="W49" i="54" s="1"/>
  <c r="R49" i="54"/>
  <c r="X49" i="54" s="1"/>
  <c r="AE49" i="54" s="1"/>
  <c r="S49" i="54"/>
  <c r="T49" i="54"/>
  <c r="Z49" i="54" s="1"/>
  <c r="U49" i="54"/>
  <c r="AA49" i="54" s="1"/>
  <c r="AH49" i="54" s="1"/>
  <c r="Y49" i="54"/>
  <c r="AF49" i="54"/>
  <c r="Q50" i="54"/>
  <c r="W50" i="54" s="1"/>
  <c r="R50" i="54"/>
  <c r="X50" i="54" s="1"/>
  <c r="AE50" i="54" s="1"/>
  <c r="S50" i="54"/>
  <c r="Y50" i="54" s="1"/>
  <c r="AF50" i="54" s="1"/>
  <c r="T50" i="54"/>
  <c r="Z50" i="54" s="1"/>
  <c r="U50" i="54"/>
  <c r="AA50" i="54"/>
  <c r="AH50" i="54" s="1"/>
  <c r="Q51" i="54"/>
  <c r="R51" i="54"/>
  <c r="S51" i="54"/>
  <c r="Y51" i="54" s="1"/>
  <c r="AF51" i="54" s="1"/>
  <c r="T51" i="54"/>
  <c r="Z51" i="54" s="1"/>
  <c r="U51" i="54"/>
  <c r="AA51" i="54" s="1"/>
  <c r="AH51" i="54" s="1"/>
  <c r="W51" i="54"/>
  <c r="X51" i="54"/>
  <c r="AE51" i="54" s="1"/>
  <c r="Q52" i="54"/>
  <c r="W52" i="54" s="1"/>
  <c r="R52" i="54"/>
  <c r="X52" i="54" s="1"/>
  <c r="AE52" i="54" s="1"/>
  <c r="S52" i="54"/>
  <c r="T52" i="54"/>
  <c r="Z52" i="54" s="1"/>
  <c r="U52" i="54"/>
  <c r="AA52" i="54" s="1"/>
  <c r="AH52" i="54" s="1"/>
  <c r="Y52" i="54"/>
  <c r="AF52" i="54"/>
  <c r="Q53" i="54"/>
  <c r="W53" i="54" s="1"/>
  <c r="R53" i="54"/>
  <c r="X53" i="54" s="1"/>
  <c r="AE53" i="54" s="1"/>
  <c r="S53" i="54"/>
  <c r="Y53" i="54" s="1"/>
  <c r="T53" i="54"/>
  <c r="Z53" i="54" s="1"/>
  <c r="AG53" i="54" s="1"/>
  <c r="U53" i="54"/>
  <c r="AA53" i="54" s="1"/>
  <c r="AH53" i="54" s="1"/>
  <c r="Q54" i="54"/>
  <c r="R54" i="54"/>
  <c r="S54" i="54"/>
  <c r="T54" i="54"/>
  <c r="Z54" i="54" s="1"/>
  <c r="AG54" i="54" s="1"/>
  <c r="U54" i="54"/>
  <c r="AA54" i="54" s="1"/>
  <c r="AH54" i="54" s="1"/>
  <c r="W54" i="54"/>
  <c r="X54" i="54"/>
  <c r="Y54" i="54"/>
  <c r="AF54" i="54" s="1"/>
  <c r="Q55" i="54"/>
  <c r="W55" i="54" s="1"/>
  <c r="R55" i="54"/>
  <c r="X55" i="54" s="1"/>
  <c r="AE55" i="54" s="1"/>
  <c r="S55" i="54"/>
  <c r="Y55" i="54" s="1"/>
  <c r="AF55" i="54" s="1"/>
  <c r="T55" i="54"/>
  <c r="Z55" i="54" s="1"/>
  <c r="AG55" i="54" s="1"/>
  <c r="U55" i="54"/>
  <c r="AA55" i="54" s="1"/>
  <c r="Q56" i="54"/>
  <c r="W56" i="54" s="1"/>
  <c r="R56" i="54"/>
  <c r="X56" i="54" s="1"/>
  <c r="AE56" i="54" s="1"/>
  <c r="S56" i="54"/>
  <c r="Y56" i="54" s="1"/>
  <c r="T56" i="54"/>
  <c r="Z56" i="54" s="1"/>
  <c r="AG56" i="54" s="1"/>
  <c r="U56" i="54"/>
  <c r="AA56" i="54"/>
  <c r="AH56" i="54" s="1"/>
  <c r="Q57" i="54"/>
  <c r="W57" i="54" s="1"/>
  <c r="R57" i="54"/>
  <c r="S57" i="54"/>
  <c r="T57" i="54"/>
  <c r="Z57" i="54" s="1"/>
  <c r="U57" i="54"/>
  <c r="AA57" i="54" s="1"/>
  <c r="AH57" i="54" s="1"/>
  <c r="X57" i="54"/>
  <c r="AE57" i="54" s="1"/>
  <c r="Y57" i="54"/>
  <c r="AF57" i="54" s="1"/>
  <c r="Q58" i="54"/>
  <c r="W58" i="54" s="1"/>
  <c r="R58" i="54"/>
  <c r="X58" i="54" s="1"/>
  <c r="AE58" i="54" s="1"/>
  <c r="S58" i="54"/>
  <c r="Y58" i="54" s="1"/>
  <c r="T58" i="54"/>
  <c r="Z58" i="54" s="1"/>
  <c r="AG58" i="54" s="1"/>
  <c r="U58" i="54"/>
  <c r="AA58" i="54" s="1"/>
  <c r="AH58" i="54" s="1"/>
  <c r="Q59" i="54"/>
  <c r="W59" i="54" s="1"/>
  <c r="R59" i="54"/>
  <c r="X59" i="54" s="1"/>
  <c r="AE59" i="54" s="1"/>
  <c r="S59" i="54"/>
  <c r="Y59" i="54" s="1"/>
  <c r="T59" i="54"/>
  <c r="Z59" i="54" s="1"/>
  <c r="AG59" i="54" s="1"/>
  <c r="U59" i="54"/>
  <c r="AA59" i="54"/>
  <c r="AH59" i="54" s="1"/>
  <c r="Q60" i="54"/>
  <c r="W60" i="54" s="1"/>
  <c r="R60" i="54"/>
  <c r="X60" i="54" s="1"/>
  <c r="AE60" i="54" s="1"/>
  <c r="S60" i="54"/>
  <c r="Y60" i="54" s="1"/>
  <c r="T60" i="54"/>
  <c r="Z60" i="54" s="1"/>
  <c r="AG60" i="54" s="1"/>
  <c r="U60" i="54"/>
  <c r="AA60" i="54" s="1"/>
  <c r="AH60" i="54" s="1"/>
  <c r="Q61" i="54"/>
  <c r="W61" i="54" s="1"/>
  <c r="R61" i="54"/>
  <c r="X61" i="54" s="1"/>
  <c r="AE61" i="54" s="1"/>
  <c r="S61" i="54"/>
  <c r="T61" i="54"/>
  <c r="Z61" i="54" s="1"/>
  <c r="U61" i="54"/>
  <c r="AA61" i="54" s="1"/>
  <c r="AH61" i="54" s="1"/>
  <c r="Y61" i="54"/>
  <c r="AF61" i="54"/>
  <c r="Q62" i="54"/>
  <c r="W62" i="54" s="1"/>
  <c r="R62" i="54"/>
  <c r="X62" i="54" s="1"/>
  <c r="AE62" i="54" s="1"/>
  <c r="S62" i="54"/>
  <c r="Y62" i="54" s="1"/>
  <c r="T62" i="54"/>
  <c r="Z62" i="54" s="1"/>
  <c r="AG62" i="54" s="1"/>
  <c r="U62" i="54"/>
  <c r="AA62" i="54"/>
  <c r="AH62" i="54" s="1"/>
  <c r="Q63" i="54"/>
  <c r="R63" i="54"/>
  <c r="S63" i="54"/>
  <c r="T63" i="54"/>
  <c r="Z63" i="54" s="1"/>
  <c r="AG63" i="54" s="1"/>
  <c r="U63" i="54"/>
  <c r="AA63" i="54" s="1"/>
  <c r="AH63" i="54" s="1"/>
  <c r="W63" i="54"/>
  <c r="X63" i="54"/>
  <c r="AE63" i="54" s="1"/>
  <c r="Y63" i="54"/>
  <c r="Q64" i="54"/>
  <c r="W64" i="54" s="1"/>
  <c r="R64" i="54"/>
  <c r="X64" i="54" s="1"/>
  <c r="AE64" i="54" s="1"/>
  <c r="S64" i="54"/>
  <c r="T64" i="54"/>
  <c r="Z64" i="54" s="1"/>
  <c r="AG64" i="54" s="1"/>
  <c r="U64" i="54"/>
  <c r="AA64" i="54" s="1"/>
  <c r="Y64" i="54"/>
  <c r="AF64" i="54"/>
  <c r="Q65" i="54"/>
  <c r="W65" i="54" s="1"/>
  <c r="AD65" i="54" s="1"/>
  <c r="R65" i="54"/>
  <c r="X65" i="54" s="1"/>
  <c r="S65" i="54"/>
  <c r="Y65" i="54" s="1"/>
  <c r="AF65" i="54" s="1"/>
  <c r="T65" i="54"/>
  <c r="Z65" i="54" s="1"/>
  <c r="AG65" i="54" s="1"/>
  <c r="U65" i="54"/>
  <c r="AA65" i="54" s="1"/>
  <c r="AH65" i="54" s="1"/>
  <c r="Q66" i="54"/>
  <c r="R66" i="54"/>
  <c r="S66" i="54"/>
  <c r="T66" i="54"/>
  <c r="Z66" i="54" s="1"/>
  <c r="AG66" i="54" s="1"/>
  <c r="U66" i="54"/>
  <c r="AA66" i="54" s="1"/>
  <c r="AH66" i="54" s="1"/>
  <c r="W66" i="54"/>
  <c r="X66" i="54"/>
  <c r="Y66" i="54"/>
  <c r="AF66" i="54" s="1"/>
  <c r="Q67" i="54"/>
  <c r="W67" i="54" s="1"/>
  <c r="R67" i="54"/>
  <c r="X67" i="54" s="1"/>
  <c r="AE67" i="54" s="1"/>
  <c r="S67" i="54"/>
  <c r="Y67" i="54" s="1"/>
  <c r="T67" i="54"/>
  <c r="Z67" i="54" s="1"/>
  <c r="AG67" i="54" s="1"/>
  <c r="U67" i="54"/>
  <c r="AA67" i="54" s="1"/>
  <c r="AH67" i="54"/>
  <c r="Q68" i="54"/>
  <c r="W68" i="54" s="1"/>
  <c r="R68" i="54"/>
  <c r="X68" i="54" s="1"/>
  <c r="AE68" i="54" s="1"/>
  <c r="S68" i="54"/>
  <c r="Y68" i="54" s="1"/>
  <c r="T68" i="54"/>
  <c r="Z68" i="54" s="1"/>
  <c r="AG68" i="54" s="1"/>
  <c r="U68" i="54"/>
  <c r="AA68" i="54"/>
  <c r="AH68" i="54" s="1"/>
  <c r="AD68" i="54"/>
  <c r="Q69" i="54"/>
  <c r="R69" i="54"/>
  <c r="S69" i="54"/>
  <c r="T69" i="54"/>
  <c r="Z69" i="54" s="1"/>
  <c r="AG69" i="54" s="1"/>
  <c r="U69" i="54"/>
  <c r="AA69" i="54" s="1"/>
  <c r="W69" i="54"/>
  <c r="X69" i="54"/>
  <c r="AE69" i="54" s="1"/>
  <c r="Y69" i="54"/>
  <c r="AF69" i="54" s="1"/>
  <c r="Q70" i="54"/>
  <c r="W70" i="54" s="1"/>
  <c r="R70" i="54"/>
  <c r="X70" i="54" s="1"/>
  <c r="AE70" i="54" s="1"/>
  <c r="S70" i="54"/>
  <c r="Y70" i="54" s="1"/>
  <c r="T70" i="54"/>
  <c r="Z70" i="54" s="1"/>
  <c r="AG70" i="54" s="1"/>
  <c r="U70" i="54"/>
  <c r="AA70" i="54" s="1"/>
  <c r="AH70" i="54" s="1"/>
  <c r="Q71" i="54"/>
  <c r="W71" i="54" s="1"/>
  <c r="AD71" i="54" s="1"/>
  <c r="R71" i="54"/>
  <c r="X71" i="54" s="1"/>
  <c r="AE71" i="54" s="1"/>
  <c r="S71" i="54"/>
  <c r="Y71" i="54" s="1"/>
  <c r="T71" i="54"/>
  <c r="Z71" i="54" s="1"/>
  <c r="AG71" i="54" s="1"/>
  <c r="U71" i="54"/>
  <c r="AA71" i="54" s="1"/>
  <c r="AH71" i="54" s="1"/>
  <c r="Q72" i="54"/>
  <c r="W72" i="54" s="1"/>
  <c r="R72" i="54"/>
  <c r="X72" i="54" s="1"/>
  <c r="AE72" i="54" s="1"/>
  <c r="S72" i="54"/>
  <c r="Y72" i="54" s="1"/>
  <c r="AF72" i="54" s="1"/>
  <c r="T72" i="54"/>
  <c r="Z72" i="54" s="1"/>
  <c r="AG72" i="54" s="1"/>
  <c r="U72" i="54"/>
  <c r="AA72" i="54" s="1"/>
  <c r="Q73" i="54"/>
  <c r="W73" i="54" s="1"/>
  <c r="R73" i="54"/>
  <c r="X73" i="54" s="1"/>
  <c r="AE73" i="54" s="1"/>
  <c r="S73" i="54"/>
  <c r="T73" i="54"/>
  <c r="Z73" i="54" s="1"/>
  <c r="U73" i="54"/>
  <c r="AA73" i="54" s="1"/>
  <c r="AH73" i="54" s="1"/>
  <c r="Y73" i="54"/>
  <c r="AF73" i="54"/>
  <c r="Q74" i="54"/>
  <c r="W74" i="54" s="1"/>
  <c r="AD74" i="54" s="1"/>
  <c r="R74" i="54"/>
  <c r="X74" i="54" s="1"/>
  <c r="AE74" i="54" s="1"/>
  <c r="S74" i="54"/>
  <c r="Y74" i="54" s="1"/>
  <c r="AF74" i="54" s="1"/>
  <c r="T74" i="54"/>
  <c r="Z74" i="54" s="1"/>
  <c r="U74" i="54"/>
  <c r="AA74" i="54"/>
  <c r="AH74" i="54" s="1"/>
  <c r="Q75" i="54"/>
  <c r="R75" i="54"/>
  <c r="X75" i="54" s="1"/>
  <c r="S75" i="54"/>
  <c r="Y75" i="54" s="1"/>
  <c r="AF75" i="54" s="1"/>
  <c r="T75" i="54"/>
  <c r="Z75" i="54" s="1"/>
  <c r="AG75" i="54" s="1"/>
  <c r="U75" i="54"/>
  <c r="AA75" i="54" s="1"/>
  <c r="AH75" i="54" s="1"/>
  <c r="W75" i="54"/>
  <c r="Q76" i="54"/>
  <c r="W76" i="54" s="1"/>
  <c r="R76" i="54"/>
  <c r="X76" i="54" s="1"/>
  <c r="AE76" i="54" s="1"/>
  <c r="S76" i="54"/>
  <c r="T76" i="54"/>
  <c r="Z76" i="54" s="1"/>
  <c r="AG76" i="54" s="1"/>
  <c r="U76" i="54"/>
  <c r="AA76" i="54" s="1"/>
  <c r="AH76" i="54" s="1"/>
  <c r="Y76" i="54"/>
  <c r="Q77" i="54"/>
  <c r="W77" i="54" s="1"/>
  <c r="R77" i="54"/>
  <c r="X77" i="54" s="1"/>
  <c r="AE77" i="54" s="1"/>
  <c r="S77" i="54"/>
  <c r="Y77" i="54" s="1"/>
  <c r="T77" i="54"/>
  <c r="Z77" i="54" s="1"/>
  <c r="AG77" i="54" s="1"/>
  <c r="U77" i="54"/>
  <c r="AA77" i="54" s="1"/>
  <c r="AH77" i="54" s="1"/>
  <c r="Q78" i="54"/>
  <c r="R78" i="54"/>
  <c r="S78" i="54"/>
  <c r="T78" i="54"/>
  <c r="Z78" i="54" s="1"/>
  <c r="U78" i="54"/>
  <c r="AA78" i="54" s="1"/>
  <c r="AH78" i="54" s="1"/>
  <c r="W78" i="54"/>
  <c r="X78" i="54"/>
  <c r="AE78" i="54" s="1"/>
  <c r="Y78" i="54"/>
  <c r="AF78" i="54" s="1"/>
  <c r="Q79" i="54"/>
  <c r="W79" i="54" s="1"/>
  <c r="R79" i="54"/>
  <c r="X79" i="54" s="1"/>
  <c r="AE79" i="54" s="1"/>
  <c r="S79" i="54"/>
  <c r="T79" i="54"/>
  <c r="Z79" i="54" s="1"/>
  <c r="U79" i="54"/>
  <c r="AA79" i="54" s="1"/>
  <c r="Y79" i="54"/>
  <c r="AF79" i="54"/>
  <c r="AH79" i="54"/>
  <c r="Q80" i="54"/>
  <c r="W80" i="54" s="1"/>
  <c r="R80" i="54"/>
  <c r="X80" i="54" s="1"/>
  <c r="AE80" i="54" s="1"/>
  <c r="S80" i="54"/>
  <c r="Y80" i="54" s="1"/>
  <c r="AF80" i="54" s="1"/>
  <c r="T80" i="54"/>
  <c r="Z80" i="54" s="1"/>
  <c r="U80" i="54"/>
  <c r="AA80" i="54" s="1"/>
  <c r="AH80" i="54" s="1"/>
  <c r="Q81" i="54"/>
  <c r="R81" i="54"/>
  <c r="S81" i="54"/>
  <c r="T81" i="54"/>
  <c r="Z81" i="54" s="1"/>
  <c r="AG81" i="54" s="1"/>
  <c r="U81" i="54"/>
  <c r="AA81" i="54" s="1"/>
  <c r="AH81" i="54" s="1"/>
  <c r="W81" i="54"/>
  <c r="X81" i="54"/>
  <c r="AE81" i="54" s="1"/>
  <c r="Y81" i="54"/>
  <c r="Q82" i="54"/>
  <c r="W82" i="54" s="1"/>
  <c r="R82" i="54"/>
  <c r="X82" i="54" s="1"/>
  <c r="AE82" i="54" s="1"/>
  <c r="S82" i="54"/>
  <c r="Y82" i="54" s="1"/>
  <c r="T82" i="54"/>
  <c r="Z82" i="54" s="1"/>
  <c r="AG82" i="54" s="1"/>
  <c r="U82" i="54"/>
  <c r="AA82" i="54" s="1"/>
  <c r="AH82" i="54"/>
  <c r="Q83" i="54"/>
  <c r="W83" i="54" s="1"/>
  <c r="R83" i="54"/>
  <c r="X83" i="54" s="1"/>
  <c r="AE83" i="54" s="1"/>
  <c r="S83" i="54"/>
  <c r="Y83" i="54" s="1"/>
  <c r="AF83" i="54" s="1"/>
  <c r="T83" i="54"/>
  <c r="Z83" i="54" s="1"/>
  <c r="U83" i="54"/>
  <c r="AA83" i="54"/>
  <c r="AH83" i="54" s="1"/>
  <c r="AD83" i="54"/>
  <c r="Q84" i="54"/>
  <c r="W84" i="54" s="1"/>
  <c r="AD84" i="54" s="1"/>
  <c r="R84" i="54"/>
  <c r="X84" i="54" s="1"/>
  <c r="AE84" i="54" s="1"/>
  <c r="S84" i="54"/>
  <c r="T84" i="54"/>
  <c r="Z84" i="54" s="1"/>
  <c r="AG84" i="54" s="1"/>
  <c r="U84" i="54"/>
  <c r="AA84" i="54" s="1"/>
  <c r="Y84" i="54"/>
  <c r="AF84" i="54" s="1"/>
  <c r="Q85" i="54"/>
  <c r="W85" i="54" s="1"/>
  <c r="R85" i="54"/>
  <c r="X85" i="54" s="1"/>
  <c r="AE85" i="54" s="1"/>
  <c r="S85" i="54"/>
  <c r="Y85" i="54" s="1"/>
  <c r="T85" i="54"/>
  <c r="Z85" i="54" s="1"/>
  <c r="AG85" i="54" s="1"/>
  <c r="U85" i="54"/>
  <c r="AA85" i="54" s="1"/>
  <c r="AH85" i="54" s="1"/>
  <c r="Q86" i="54"/>
  <c r="W86" i="54" s="1"/>
  <c r="R86" i="54"/>
  <c r="X86" i="54" s="1"/>
  <c r="AE86" i="54" s="1"/>
  <c r="S86" i="54"/>
  <c r="Y86" i="54" s="1"/>
  <c r="T86" i="54"/>
  <c r="Z86" i="54" s="1"/>
  <c r="AG86" i="54" s="1"/>
  <c r="U86" i="54"/>
  <c r="AA86" i="54"/>
  <c r="AH86" i="54" s="1"/>
  <c r="AD86" i="54"/>
  <c r="Q87" i="54"/>
  <c r="W87" i="54" s="1"/>
  <c r="R87" i="54"/>
  <c r="X87" i="54" s="1"/>
  <c r="AE87" i="54" s="1"/>
  <c r="S87" i="54"/>
  <c r="Y87" i="54" s="1"/>
  <c r="T87" i="54"/>
  <c r="Z87" i="54" s="1"/>
  <c r="AG87" i="54" s="1"/>
  <c r="U87" i="54"/>
  <c r="AA87" i="54" s="1"/>
  <c r="AH87" i="54" s="1"/>
  <c r="Q88" i="54"/>
  <c r="W88" i="54" s="1"/>
  <c r="R88" i="54"/>
  <c r="X88" i="54" s="1"/>
  <c r="S88" i="54"/>
  <c r="T88" i="54"/>
  <c r="Z88" i="54" s="1"/>
  <c r="AG88" i="54" s="1"/>
  <c r="U88" i="54"/>
  <c r="AA88" i="54" s="1"/>
  <c r="Y88" i="54"/>
  <c r="AF88" i="54"/>
  <c r="AH88" i="54"/>
  <c r="Q89" i="54"/>
  <c r="W89" i="54" s="1"/>
  <c r="R89" i="54"/>
  <c r="X89" i="54" s="1"/>
  <c r="AE89" i="54" s="1"/>
  <c r="S89" i="54"/>
  <c r="Y89" i="54" s="1"/>
  <c r="AF89" i="54" s="1"/>
  <c r="T89" i="54"/>
  <c r="Z89" i="54" s="1"/>
  <c r="AG89" i="54" s="1"/>
  <c r="U89" i="54"/>
  <c r="AA89" i="54"/>
  <c r="AD89" i="54"/>
  <c r="Q90" i="54"/>
  <c r="W90" i="54" s="1"/>
  <c r="R90" i="54"/>
  <c r="X90" i="54" s="1"/>
  <c r="AE90" i="54" s="1"/>
  <c r="S90" i="54"/>
  <c r="Y90" i="54" s="1"/>
  <c r="AF90" i="54" s="1"/>
  <c r="T90" i="54"/>
  <c r="Z90" i="54" s="1"/>
  <c r="U90" i="54"/>
  <c r="AA90" i="54" s="1"/>
  <c r="AH90" i="54" s="1"/>
  <c r="Q91" i="54"/>
  <c r="W91" i="54" s="1"/>
  <c r="R91" i="54"/>
  <c r="X91" i="54" s="1"/>
  <c r="AE91" i="54" s="1"/>
  <c r="S91" i="54"/>
  <c r="Y91" i="54" s="1"/>
  <c r="T91" i="54"/>
  <c r="Z91" i="54" s="1"/>
  <c r="AG91" i="54" s="1"/>
  <c r="U91" i="54"/>
  <c r="AA91" i="54" s="1"/>
  <c r="AH91" i="54"/>
  <c r="Q92" i="54"/>
  <c r="W92" i="54" s="1"/>
  <c r="R92" i="54"/>
  <c r="X92" i="54" s="1"/>
  <c r="AE92" i="54" s="1"/>
  <c r="S92" i="54"/>
  <c r="Y92" i="54" s="1"/>
  <c r="T92" i="54"/>
  <c r="Z92" i="54" s="1"/>
  <c r="AG92" i="54" s="1"/>
  <c r="U92" i="54"/>
  <c r="AA92" i="54"/>
  <c r="AH92" i="54" s="1"/>
  <c r="U13" i="54"/>
  <c r="AA13" i="54" s="1"/>
  <c r="AH13" i="54" s="1"/>
  <c r="T13" i="54"/>
  <c r="Z13" i="54" s="1"/>
  <c r="S13" i="54"/>
  <c r="Y13" i="54" s="1"/>
  <c r="AF13" i="54" s="1"/>
  <c r="R13" i="54"/>
  <c r="X13" i="54" s="1"/>
  <c r="AE13" i="54" s="1"/>
  <c r="Q13" i="54"/>
  <c r="W13" i="54" s="1"/>
  <c r="AQ27" i="39" l="1"/>
  <c r="AB60" i="54"/>
  <c r="AB48" i="54"/>
  <c r="AB92" i="54"/>
  <c r="AB81" i="54"/>
  <c r="AB68" i="54"/>
  <c r="AB51" i="54"/>
  <c r="AB33" i="54"/>
  <c r="AB39" i="54"/>
  <c r="AB18" i="54"/>
  <c r="AB30" i="54"/>
  <c r="AB80" i="54"/>
  <c r="AN17" i="39"/>
  <c r="AN18" i="39"/>
  <c r="AN15" i="39"/>
  <c r="AN23" i="39"/>
  <c r="AN21" i="39"/>
  <c r="AN26" i="39"/>
  <c r="AN20" i="39"/>
  <c r="AN19" i="39"/>
  <c r="AN24" i="39"/>
  <c r="AN16" i="39"/>
  <c r="AN22" i="39"/>
  <c r="AN27" i="39"/>
  <c r="AP27" i="39"/>
  <c r="AV27" i="39"/>
  <c r="AZ27" i="39"/>
  <c r="AY27" i="39"/>
  <c r="AN25" i="39"/>
  <c r="AB61" i="54"/>
  <c r="AD61" i="54"/>
  <c r="AB35" i="54"/>
  <c r="AD35" i="54"/>
  <c r="AB26" i="54"/>
  <c r="AD26" i="54"/>
  <c r="AB15" i="54"/>
  <c r="AB85" i="54"/>
  <c r="AD85" i="54"/>
  <c r="AB78" i="54"/>
  <c r="AB77" i="54"/>
  <c r="AB47" i="54"/>
  <c r="AD47" i="54"/>
  <c r="AB40" i="54"/>
  <c r="AD40" i="54"/>
  <c r="AB36" i="54"/>
  <c r="AB27" i="54"/>
  <c r="AB19" i="54"/>
  <c r="AD19" i="54"/>
  <c r="AB64" i="54"/>
  <c r="AD64" i="54"/>
  <c r="AB59" i="54"/>
  <c r="AD59" i="54"/>
  <c r="AB52" i="54"/>
  <c r="AD52" i="54"/>
  <c r="AB31" i="54"/>
  <c r="AD31" i="54"/>
  <c r="AB67" i="54"/>
  <c r="AD67" i="54"/>
  <c r="AB38" i="54"/>
  <c r="AD38" i="54"/>
  <c r="AB17" i="54"/>
  <c r="AD17" i="54"/>
  <c r="AD92" i="54"/>
  <c r="AB91" i="54"/>
  <c r="AD91" i="54"/>
  <c r="AB29" i="54"/>
  <c r="AD29" i="54"/>
  <c r="AB62" i="54"/>
  <c r="AB55" i="54"/>
  <c r="AD55" i="54"/>
  <c r="AB43" i="54"/>
  <c r="AD43" i="54"/>
  <c r="AB50" i="54"/>
  <c r="AD50" i="54"/>
  <c r="AB22" i="54"/>
  <c r="AD22" i="54"/>
  <c r="AB70" i="54"/>
  <c r="AD70" i="54"/>
  <c r="AB63" i="54"/>
  <c r="AB87" i="54"/>
  <c r="AB86" i="54"/>
  <c r="AB66" i="54"/>
  <c r="AB65" i="54"/>
  <c r="AB34" i="54"/>
  <c r="AD34" i="54"/>
  <c r="AB20" i="54"/>
  <c r="AD20" i="54"/>
  <c r="AB88" i="54"/>
  <c r="AD88" i="54"/>
  <c r="AB83" i="54"/>
  <c r="AB90" i="54"/>
  <c r="AB89" i="54"/>
  <c r="AD77" i="54"/>
  <c r="AB73" i="54"/>
  <c r="AD73" i="54"/>
  <c r="AB53" i="54"/>
  <c r="AD53" i="54"/>
  <c r="AB41" i="54"/>
  <c r="AD41" i="54"/>
  <c r="AB25" i="54"/>
  <c r="AD25" i="54"/>
  <c r="AB21" i="54"/>
  <c r="AD80" i="54"/>
  <c r="AB76" i="54"/>
  <c r="AD76" i="54"/>
  <c r="AB69" i="54"/>
  <c r="AB58" i="54"/>
  <c r="AD58" i="54"/>
  <c r="AB54" i="54"/>
  <c r="AB46" i="54"/>
  <c r="AD46" i="54"/>
  <c r="AB42" i="54"/>
  <c r="AB32" i="54"/>
  <c r="AD32" i="54"/>
  <c r="AB23" i="54"/>
  <c r="AD23" i="54"/>
  <c r="AB16" i="54"/>
  <c r="AD16" i="54"/>
  <c r="AD79" i="54"/>
  <c r="AB79" i="54"/>
  <c r="AB72" i="54"/>
  <c r="AB56" i="54"/>
  <c r="AD56" i="54"/>
  <c r="AB44" i="54"/>
  <c r="AD44" i="54"/>
  <c r="AB37" i="54"/>
  <c r="AD37" i="54"/>
  <c r="AB28" i="54"/>
  <c r="AD28" i="54"/>
  <c r="AB71" i="54"/>
  <c r="AB82" i="54"/>
  <c r="AD82" i="54"/>
  <c r="AB75" i="54"/>
  <c r="AB74" i="54"/>
  <c r="AD62" i="54"/>
  <c r="AB57" i="54"/>
  <c r="AB49" i="54"/>
  <c r="AD49" i="54"/>
  <c r="AB45" i="54"/>
  <c r="AB14" i="54"/>
  <c r="AD14" i="54"/>
  <c r="AD90" i="54"/>
  <c r="AD87" i="54"/>
  <c r="AD81" i="54"/>
  <c r="AD78" i="54"/>
  <c r="AD75" i="54"/>
  <c r="AD72" i="54"/>
  <c r="AD69" i="54"/>
  <c r="AD66" i="54"/>
  <c r="AD63" i="54"/>
  <c r="AD60" i="54"/>
  <c r="AD57" i="54"/>
  <c r="AD54" i="54"/>
  <c r="AD51" i="54"/>
  <c r="AD48" i="54"/>
  <c r="AD45" i="54"/>
  <c r="AD42" i="54"/>
  <c r="AD39" i="54"/>
  <c r="AD36" i="54"/>
  <c r="AD33" i="54"/>
  <c r="AD30" i="54"/>
  <c r="AD27" i="54"/>
  <c r="AD24" i="54"/>
  <c r="AD21" i="54"/>
  <c r="AD18" i="54"/>
  <c r="AD15" i="54"/>
  <c r="AB84" i="54"/>
  <c r="AD13" i="54"/>
  <c r="AB13" i="54"/>
  <c r="P15" i="39" l="1"/>
  <c r="P16" i="39"/>
  <c r="P17" i="39"/>
  <c r="P18" i="39"/>
  <c r="P19" i="39"/>
  <c r="P20" i="39"/>
  <c r="P21" i="39"/>
  <c r="P22" i="39"/>
  <c r="P23" i="39"/>
  <c r="P24" i="39"/>
  <c r="P25" i="39"/>
  <c r="P26" i="39"/>
  <c r="P27" i="39"/>
  <c r="N15" i="39"/>
  <c r="N16" i="39"/>
  <c r="N17" i="39"/>
  <c r="N18" i="39"/>
  <c r="N19" i="39"/>
  <c r="N20" i="39"/>
  <c r="N21" i="39"/>
  <c r="N22" i="39"/>
  <c r="N23" i="39"/>
  <c r="N24" i="39"/>
  <c r="N25" i="39"/>
  <c r="N26" i="39"/>
  <c r="N27" i="39"/>
  <c r="Q27" i="39" l="1"/>
  <c r="Q25" i="39"/>
  <c r="Q16" i="39"/>
  <c r="Q17" i="39"/>
  <c r="Q20" i="39"/>
  <c r="Q15" i="39"/>
  <c r="Q26" i="39"/>
  <c r="Y26" i="39" s="1"/>
  <c r="Q24" i="39"/>
  <c r="Q23" i="39"/>
  <c r="Q22" i="39"/>
  <c r="Q21" i="39"/>
  <c r="Q19" i="39"/>
  <c r="Q18" i="39"/>
  <c r="J41" i="54"/>
  <c r="M41" i="54"/>
  <c r="J42" i="54"/>
  <c r="M42" i="54"/>
  <c r="J14" i="54"/>
  <c r="J15" i="54"/>
  <c r="J16" i="54"/>
  <c r="P16" i="54" s="1"/>
  <c r="AF16" i="54" s="1"/>
  <c r="J17" i="54"/>
  <c r="P17" i="54" s="1"/>
  <c r="AF17" i="54" s="1"/>
  <c r="J18" i="54"/>
  <c r="P18" i="54" s="1"/>
  <c r="AF18" i="54" s="1"/>
  <c r="J19" i="54"/>
  <c r="P19" i="54" s="1"/>
  <c r="AH19" i="54" s="1"/>
  <c r="J20" i="54"/>
  <c r="P20" i="54" s="1"/>
  <c r="AH20" i="54" s="1"/>
  <c r="J21" i="54"/>
  <c r="P21" i="54" s="1"/>
  <c r="AE21" i="54" s="1"/>
  <c r="J22" i="54"/>
  <c r="J23" i="54"/>
  <c r="J24" i="54"/>
  <c r="J25" i="54"/>
  <c r="J26" i="54"/>
  <c r="J27" i="54"/>
  <c r="J28" i="54"/>
  <c r="P28" i="54" s="1"/>
  <c r="AF28" i="54" s="1"/>
  <c r="J29" i="54"/>
  <c r="P29" i="54" s="1"/>
  <c r="AG29" i="54" s="1"/>
  <c r="J30" i="54"/>
  <c r="P30" i="54" s="1"/>
  <c r="AH30" i="54" s="1"/>
  <c r="J31" i="54"/>
  <c r="P31" i="54" s="1"/>
  <c r="AF31" i="54" s="1"/>
  <c r="J32" i="54"/>
  <c r="P32" i="54" s="1"/>
  <c r="AG32" i="54" s="1"/>
  <c r="J33" i="54"/>
  <c r="P33" i="54" s="1"/>
  <c r="AG33" i="54" s="1"/>
  <c r="J34" i="54"/>
  <c r="J35" i="54"/>
  <c r="J36" i="54"/>
  <c r="J37" i="54"/>
  <c r="J38" i="54"/>
  <c r="J39" i="54"/>
  <c r="J40" i="54"/>
  <c r="P40" i="54" s="1"/>
  <c r="AF40" i="54" s="1"/>
  <c r="J43" i="54"/>
  <c r="P43" i="54" s="1"/>
  <c r="AH43" i="54" s="1"/>
  <c r="J44" i="54"/>
  <c r="P44" i="54" s="1"/>
  <c r="AE44" i="54" s="1"/>
  <c r="J45" i="54"/>
  <c r="P45" i="54" s="1"/>
  <c r="AH45" i="54" s="1"/>
  <c r="J46" i="54"/>
  <c r="P46" i="54" s="1"/>
  <c r="AE46" i="54" s="1"/>
  <c r="J47" i="54"/>
  <c r="P47" i="54" s="1"/>
  <c r="AE47" i="54" s="1"/>
  <c r="J48" i="54"/>
  <c r="J49" i="54"/>
  <c r="J50" i="54"/>
  <c r="J51" i="54"/>
  <c r="J52" i="54"/>
  <c r="J53" i="54"/>
  <c r="J54" i="54"/>
  <c r="P54" i="54" s="1"/>
  <c r="AE54" i="54" s="1"/>
  <c r="J55" i="54"/>
  <c r="P55" i="54" s="1"/>
  <c r="AH55" i="54" s="1"/>
  <c r="J56" i="54"/>
  <c r="P56" i="54" s="1"/>
  <c r="AF56" i="54" s="1"/>
  <c r="J57" i="54"/>
  <c r="P57" i="54" s="1"/>
  <c r="AG57" i="54" s="1"/>
  <c r="J58" i="54"/>
  <c r="P58" i="54" s="1"/>
  <c r="AF58" i="54" s="1"/>
  <c r="J59" i="54"/>
  <c r="P59" i="54" s="1"/>
  <c r="AF59" i="54" s="1"/>
  <c r="J60" i="54"/>
  <c r="J61" i="54"/>
  <c r="J62" i="54"/>
  <c r="J63" i="54"/>
  <c r="J64" i="54"/>
  <c r="J65" i="54"/>
  <c r="J66" i="54"/>
  <c r="P66" i="54" s="1"/>
  <c r="AE66" i="54" s="1"/>
  <c r="J67" i="54"/>
  <c r="P67" i="54" s="1"/>
  <c r="AF67" i="54" s="1"/>
  <c r="J68" i="54"/>
  <c r="P68" i="54" s="1"/>
  <c r="AF68" i="54" s="1"/>
  <c r="J69" i="54"/>
  <c r="P69" i="54" s="1"/>
  <c r="AH69" i="54" s="1"/>
  <c r="J70" i="54"/>
  <c r="P70" i="54" s="1"/>
  <c r="AF70" i="54" s="1"/>
  <c r="J71" i="54"/>
  <c r="P71" i="54" s="1"/>
  <c r="AF71" i="54" s="1"/>
  <c r="J72" i="54"/>
  <c r="J73" i="54"/>
  <c r="J74" i="54"/>
  <c r="J75" i="54"/>
  <c r="J76" i="54"/>
  <c r="J77" i="54"/>
  <c r="J78" i="54"/>
  <c r="P78" i="54" s="1"/>
  <c r="AG78" i="54" s="1"/>
  <c r="J79" i="54"/>
  <c r="P79" i="54" s="1"/>
  <c r="AG79" i="54" s="1"/>
  <c r="J80" i="54"/>
  <c r="P80" i="54" s="1"/>
  <c r="AG80" i="54" s="1"/>
  <c r="J81" i="54"/>
  <c r="P81" i="54" s="1"/>
  <c r="AF81" i="54" s="1"/>
  <c r="J82" i="54"/>
  <c r="P82" i="54" s="1"/>
  <c r="AF82" i="54" s="1"/>
  <c r="J83" i="54"/>
  <c r="P83" i="54" s="1"/>
  <c r="AG83" i="54" s="1"/>
  <c r="J84" i="54"/>
  <c r="J85" i="54"/>
  <c r="J86" i="54"/>
  <c r="J87" i="54"/>
  <c r="J88" i="54"/>
  <c r="J89" i="54"/>
  <c r="J90" i="54"/>
  <c r="P90" i="54" s="1"/>
  <c r="AG90" i="54" s="1"/>
  <c r="J91" i="54"/>
  <c r="P91" i="54" s="1"/>
  <c r="AF91" i="54" s="1"/>
  <c r="J92" i="54"/>
  <c r="P92" i="54" s="1"/>
  <c r="AF92" i="54" s="1"/>
  <c r="J13" i="54"/>
  <c r="M14" i="54"/>
  <c r="M15" i="54"/>
  <c r="M16" i="54"/>
  <c r="M17" i="54"/>
  <c r="M18" i="54"/>
  <c r="M19" i="54"/>
  <c r="M20" i="54"/>
  <c r="M21" i="54"/>
  <c r="M22" i="54"/>
  <c r="M23" i="54"/>
  <c r="M24" i="54"/>
  <c r="M25" i="54"/>
  <c r="M26" i="54"/>
  <c r="M27" i="54"/>
  <c r="M28" i="54"/>
  <c r="M29" i="54"/>
  <c r="M30" i="54"/>
  <c r="M31" i="54"/>
  <c r="M32" i="54"/>
  <c r="M33" i="54"/>
  <c r="M34" i="54"/>
  <c r="M35" i="54"/>
  <c r="M36" i="54"/>
  <c r="M37" i="54"/>
  <c r="M38" i="54"/>
  <c r="M39" i="54"/>
  <c r="M40" i="54"/>
  <c r="M43" i="54"/>
  <c r="M44" i="54"/>
  <c r="M45" i="54"/>
  <c r="M46" i="54"/>
  <c r="M47" i="54"/>
  <c r="M48" i="54"/>
  <c r="M49" i="54"/>
  <c r="M50" i="54"/>
  <c r="M51" i="54"/>
  <c r="M52" i="54"/>
  <c r="M53" i="54"/>
  <c r="M54" i="54"/>
  <c r="M55" i="54"/>
  <c r="M56" i="54"/>
  <c r="M57" i="54"/>
  <c r="M58" i="54"/>
  <c r="M59" i="54"/>
  <c r="M60" i="54"/>
  <c r="M61" i="54"/>
  <c r="M62" i="54"/>
  <c r="M63" i="54"/>
  <c r="M64" i="54"/>
  <c r="M65" i="54"/>
  <c r="M66" i="54"/>
  <c r="M67" i="54"/>
  <c r="M68" i="54"/>
  <c r="M69" i="54"/>
  <c r="M70" i="54"/>
  <c r="M71" i="54"/>
  <c r="M72" i="54"/>
  <c r="M73" i="54"/>
  <c r="M74" i="54"/>
  <c r="M75" i="54"/>
  <c r="M76" i="54"/>
  <c r="M77" i="54"/>
  <c r="M78" i="54"/>
  <c r="M79" i="54"/>
  <c r="M80" i="54"/>
  <c r="M81" i="54"/>
  <c r="M82" i="54"/>
  <c r="M83" i="54"/>
  <c r="M84" i="54"/>
  <c r="M85" i="54"/>
  <c r="M86" i="54"/>
  <c r="M87" i="54"/>
  <c r="M88" i="54"/>
  <c r="M89" i="54"/>
  <c r="M90" i="54"/>
  <c r="M91" i="54"/>
  <c r="M92" i="54"/>
  <c r="M13" i="54"/>
  <c r="U12" i="54"/>
  <c r="T12" i="54"/>
  <c r="S12" i="54"/>
  <c r="R12" i="54"/>
  <c r="Q12" i="54"/>
  <c r="R11" i="54"/>
  <c r="S11" i="54" s="1"/>
  <c r="T11" i="54" s="1"/>
  <c r="U11" i="54" s="1"/>
  <c r="AH9" i="54"/>
  <c r="AG9" i="54"/>
  <c r="AF9" i="54"/>
  <c r="AE9" i="54"/>
  <c r="AD9" i="54"/>
  <c r="AA9" i="54"/>
  <c r="Z9" i="54"/>
  <c r="Y9" i="54"/>
  <c r="X9" i="54"/>
  <c r="W9" i="54"/>
  <c r="B1" i="54"/>
  <c r="P41" i="54" l="1"/>
  <c r="AF41" i="54" s="1"/>
  <c r="P89" i="54"/>
  <c r="AH89" i="54" s="1"/>
  <c r="P77" i="54"/>
  <c r="AF77" i="54" s="1"/>
  <c r="P65" i="54"/>
  <c r="AE65" i="54" s="1"/>
  <c r="P53" i="54"/>
  <c r="AF53" i="54" s="1"/>
  <c r="P39" i="54"/>
  <c r="AF39" i="54" s="1"/>
  <c r="P27" i="54"/>
  <c r="AG27" i="54" s="1"/>
  <c r="P15" i="54"/>
  <c r="AF15" i="54" s="1"/>
  <c r="P64" i="54"/>
  <c r="AH64" i="54" s="1"/>
  <c r="P52" i="54"/>
  <c r="AG52" i="54" s="1"/>
  <c r="P14" i="54"/>
  <c r="AG14" i="54" s="1"/>
  <c r="P87" i="54"/>
  <c r="AF87" i="54" s="1"/>
  <c r="P75" i="54"/>
  <c r="AE75" i="54" s="1"/>
  <c r="P63" i="54"/>
  <c r="AF63" i="54" s="1"/>
  <c r="P51" i="54"/>
  <c r="AG51" i="54" s="1"/>
  <c r="P37" i="54"/>
  <c r="AG37" i="54" s="1"/>
  <c r="P25" i="54"/>
  <c r="AG25" i="54" s="1"/>
  <c r="P86" i="54"/>
  <c r="AF86" i="54" s="1"/>
  <c r="P74" i="54"/>
  <c r="AG74" i="54" s="1"/>
  <c r="P62" i="54"/>
  <c r="AF62" i="54" s="1"/>
  <c r="P50" i="54"/>
  <c r="AG50" i="54" s="1"/>
  <c r="P36" i="54"/>
  <c r="AE36" i="54" s="1"/>
  <c r="P24" i="54"/>
  <c r="AE24" i="54" s="1"/>
  <c r="P26" i="54"/>
  <c r="AG26" i="54" s="1"/>
  <c r="P85" i="54"/>
  <c r="AF85" i="54" s="1"/>
  <c r="P73" i="54"/>
  <c r="AG73" i="54" s="1"/>
  <c r="P61" i="54"/>
  <c r="AG61" i="54" s="1"/>
  <c r="P49" i="54"/>
  <c r="AG49" i="54" s="1"/>
  <c r="P35" i="54"/>
  <c r="AG35" i="54" s="1"/>
  <c r="P23" i="54"/>
  <c r="AE23" i="54" s="1"/>
  <c r="P42" i="54"/>
  <c r="AF42" i="54" s="1"/>
  <c r="P88" i="54"/>
  <c r="AE88" i="54" s="1"/>
  <c r="P76" i="54"/>
  <c r="AF76" i="54" s="1"/>
  <c r="P38" i="54"/>
  <c r="AE38" i="54" s="1"/>
  <c r="P84" i="54"/>
  <c r="AH84" i="54" s="1"/>
  <c r="P72" i="54"/>
  <c r="AH72" i="54" s="1"/>
  <c r="P60" i="54"/>
  <c r="AF60" i="54" s="1"/>
  <c r="P48" i="54"/>
  <c r="AF48" i="54" s="1"/>
  <c r="P34" i="54"/>
  <c r="AF34" i="54" s="1"/>
  <c r="P22" i="54"/>
  <c r="AG22" i="54" s="1"/>
  <c r="J93" i="54"/>
  <c r="M93" i="54"/>
  <c r="AD12" i="54" l="1"/>
  <c r="AF12" i="54"/>
  <c r="AE12" i="54"/>
  <c r="AH12" i="54"/>
  <c r="U16" i="39" l="1"/>
  <c r="U19" i="39"/>
  <c r="U20" i="39"/>
  <c r="U22" i="39"/>
  <c r="U25" i="39"/>
  <c r="U26" i="39"/>
  <c r="U27" i="39"/>
  <c r="H15" i="23"/>
  <c r="T15" i="39" l="1"/>
  <c r="T16" i="39"/>
  <c r="T17" i="39"/>
  <c r="T18" i="39"/>
  <c r="T19" i="39"/>
  <c r="T20" i="39"/>
  <c r="T21" i="39"/>
  <c r="T22" i="39"/>
  <c r="T23" i="39"/>
  <c r="T24" i="39"/>
  <c r="T25" i="39"/>
  <c r="T26" i="39"/>
  <c r="T27" i="39"/>
  <c r="E53" i="2"/>
  <c r="E54" i="2" s="1"/>
  <c r="E55" i="2" s="1"/>
  <c r="E56" i="2" s="1"/>
  <c r="E57" i="2" s="1"/>
  <c r="E58" i="2" s="1"/>
  <c r="E59" i="2" s="1"/>
  <c r="I22" i="39"/>
  <c r="I15" i="39"/>
  <c r="I18" i="39"/>
  <c r="I21" i="39"/>
  <c r="I25" i="39"/>
  <c r="I26" i="39"/>
  <c r="I24" i="39"/>
  <c r="I16" i="39"/>
  <c r="I17" i="39"/>
  <c r="I27" i="39"/>
  <c r="I19" i="39"/>
  <c r="G51" i="2" l="1"/>
  <c r="Y17" i="39"/>
  <c r="Y22" i="39"/>
  <c r="Y18" i="39"/>
  <c r="Y16" i="39"/>
  <c r="S25" i="39" l="1"/>
  <c r="Z25" i="39" s="1"/>
  <c r="S15" i="39"/>
  <c r="Z15" i="39" s="1"/>
  <c r="S26" i="39"/>
  <c r="Z26" i="39" s="1"/>
  <c r="S24" i="39"/>
  <c r="Z24" i="39" s="1"/>
  <c r="S16" i="39"/>
  <c r="Z16" i="39" s="1"/>
  <c r="S27" i="39"/>
  <c r="Z27" i="39" s="1"/>
  <c r="S21" i="39"/>
  <c r="Z21" i="39" s="1"/>
  <c r="S23" i="39"/>
  <c r="Z23" i="39" s="1"/>
  <c r="S17" i="39"/>
  <c r="Z17" i="39" s="1"/>
  <c r="S18" i="39"/>
  <c r="S20" i="39"/>
  <c r="Z20" i="39" s="1"/>
  <c r="S19" i="39"/>
  <c r="Z19" i="39" s="1"/>
  <c r="S22" i="39"/>
  <c r="Z22" i="39" s="1"/>
  <c r="Y15" i="39"/>
  <c r="Y25" i="39"/>
  <c r="Y24" i="39"/>
  <c r="Z18" i="39"/>
  <c r="Y23" i="39"/>
  <c r="Y19" i="39"/>
  <c r="Y20" i="39"/>
  <c r="Y27" i="39"/>
  <c r="V15" i="39" l="1"/>
  <c r="V20" i="39"/>
  <c r="W20" i="39" s="1"/>
  <c r="X20" i="39" s="1"/>
  <c r="V24" i="39"/>
  <c r="V19" i="39"/>
  <c r="W19" i="39" s="1"/>
  <c r="X19" i="39" s="1"/>
  <c r="V16" i="39"/>
  <c r="W16" i="39" s="1"/>
  <c r="X16" i="39" s="1"/>
  <c r="V27" i="39"/>
  <c r="W27" i="39" s="1"/>
  <c r="X27" i="39" s="1"/>
  <c r="V17" i="39"/>
  <c r="V18" i="39"/>
  <c r="V23" i="39"/>
  <c r="V26" i="39"/>
  <c r="W26" i="39" s="1"/>
  <c r="X26" i="39" s="1"/>
  <c r="Z28" i="39"/>
  <c r="Y21" i="39"/>
  <c r="AZ12" i="39"/>
  <c r="AW12" i="39"/>
  <c r="AX12" i="39"/>
  <c r="AY12" i="39"/>
  <c r="AV12" i="39"/>
  <c r="BA12" i="39"/>
  <c r="V25" i="39" l="1"/>
  <c r="W25" i="39" s="1"/>
  <c r="X25" i="39" s="1"/>
  <c r="V21" i="39"/>
  <c r="V22" i="39"/>
  <c r="W22" i="39" s="1"/>
  <c r="X22" i="39" s="1"/>
  <c r="Y28" i="39"/>
  <c r="U21" i="39"/>
  <c r="W21" i="39" l="1"/>
  <c r="X21" i="39" s="1"/>
  <c r="U23" i="39"/>
  <c r="W23" i="39" s="1"/>
  <c r="X23" i="39" s="1"/>
  <c r="U18" i="39"/>
  <c r="W18" i="39" s="1"/>
  <c r="X18" i="39" s="1"/>
  <c r="U17" i="39"/>
  <c r="W17" i="39" s="1"/>
  <c r="X17" i="39" s="1"/>
  <c r="U24" i="39"/>
  <c r="W24" i="39" s="1"/>
  <c r="X24" i="39" s="1"/>
  <c r="U15" i="39"/>
  <c r="W15" i="39" s="1"/>
  <c r="X15" i="39" s="1"/>
  <c r="L15" i="23" l="1"/>
  <c r="G67" i="2" l="1"/>
  <c r="G65" i="2"/>
  <c r="G9" i="2"/>
  <c r="C24" i="23" l="1"/>
  <c r="C13" i="9" s="1"/>
  <c r="B24" i="23"/>
  <c r="B13" i="9" s="1"/>
  <c r="C23" i="23"/>
  <c r="C12" i="9" s="1"/>
  <c r="B23" i="23"/>
  <c r="B12" i="9" s="1"/>
  <c r="C22" i="23"/>
  <c r="C11" i="9" s="1"/>
  <c r="B22" i="23"/>
  <c r="B11" i="9" s="1"/>
  <c r="C21" i="23"/>
  <c r="C10" i="9" s="1"/>
  <c r="B21" i="23"/>
  <c r="B10" i="9" s="1"/>
  <c r="C20" i="23"/>
  <c r="C9" i="9" s="1"/>
  <c r="B20" i="23"/>
  <c r="B9" i="9" s="1"/>
  <c r="D10" i="9" l="1"/>
  <c r="G10" i="9"/>
  <c r="D13" i="9"/>
  <c r="G13" i="9"/>
  <c r="D11" i="9"/>
  <c r="G11" i="9"/>
  <c r="D12" i="9"/>
  <c r="D9" i="9"/>
  <c r="G9" i="9"/>
  <c r="E13" i="9"/>
  <c r="B2" i="23"/>
  <c r="F13" i="9" l="1"/>
  <c r="D14" i="9"/>
  <c r="E19" i="23"/>
  <c r="F19" i="23" s="1"/>
  <c r="G19" i="23" s="1"/>
  <c r="H19" i="23" s="1"/>
  <c r="I19" i="23" s="1"/>
  <c r="J19" i="23" s="1"/>
  <c r="K19" i="23" s="1"/>
  <c r="L19" i="23" s="1"/>
  <c r="M19" i="23" s="1"/>
  <c r="N19" i="23" s="1"/>
  <c r="O19" i="23" s="1"/>
  <c r="P19" i="23" s="1"/>
  <c r="Q19" i="23" s="1"/>
  <c r="R19" i="23" s="1"/>
  <c r="S19" i="23" s="1"/>
  <c r="AT12" i="39"/>
  <c r="B2" i="39"/>
  <c r="AP12" i="39" l="1"/>
  <c r="AQ12" i="39"/>
  <c r="AI12" i="39"/>
  <c r="AJ12" i="39"/>
  <c r="AK12" i="39"/>
  <c r="AS12" i="39"/>
  <c r="AR12" i="39"/>
  <c r="AM12" i="39"/>
  <c r="AL12" i="39"/>
  <c r="G15" i="23" l="1"/>
  <c r="F15" i="23"/>
  <c r="E15" i="23"/>
  <c r="D15" i="23"/>
  <c r="L7" i="23"/>
  <c r="B2" i="9" l="1"/>
  <c r="E38" i="2" l="1"/>
  <c r="O41" i="54" l="1"/>
  <c r="O84" i="54"/>
  <c r="O72" i="54"/>
  <c r="O60" i="54"/>
  <c r="O48" i="54"/>
  <c r="O34" i="54"/>
  <c r="O22" i="54"/>
  <c r="O80" i="54"/>
  <c r="O44" i="54"/>
  <c r="O40" i="54"/>
  <c r="O65" i="54"/>
  <c r="O76" i="54"/>
  <c r="O14" i="54"/>
  <c r="O37" i="54"/>
  <c r="O13" i="54"/>
  <c r="P13" i="54" s="1"/>
  <c r="AG13" i="54" s="1"/>
  <c r="AG12" i="54" s="1"/>
  <c r="G12" i="9" s="1"/>
  <c r="O50" i="54"/>
  <c r="O35" i="54"/>
  <c r="O83" i="54"/>
  <c r="O71" i="54"/>
  <c r="O59" i="54"/>
  <c r="O47" i="54"/>
  <c r="O33" i="54"/>
  <c r="O21" i="54"/>
  <c r="O68" i="54"/>
  <c r="O18" i="54"/>
  <c r="O66" i="54"/>
  <c r="O16" i="54"/>
  <c r="O53" i="54"/>
  <c r="O27" i="54"/>
  <c r="O52" i="54"/>
  <c r="O51" i="54"/>
  <c r="O86" i="54"/>
  <c r="O24" i="54"/>
  <c r="O61" i="54"/>
  <c r="O23" i="54"/>
  <c r="O82" i="54"/>
  <c r="O70" i="54"/>
  <c r="O58" i="54"/>
  <c r="O46" i="54"/>
  <c r="O32" i="54"/>
  <c r="O20" i="54"/>
  <c r="O30" i="54"/>
  <c r="O78" i="54"/>
  <c r="O77" i="54"/>
  <c r="O64" i="54"/>
  <c r="O75" i="54"/>
  <c r="O36" i="54"/>
  <c r="O73" i="54"/>
  <c r="O42" i="54"/>
  <c r="O81" i="54"/>
  <c r="O69" i="54"/>
  <c r="O57" i="54"/>
  <c r="O45" i="54"/>
  <c r="O31" i="54"/>
  <c r="O19" i="54"/>
  <c r="O92" i="54"/>
  <c r="O56" i="54"/>
  <c r="O90" i="54"/>
  <c r="O28" i="54"/>
  <c r="O39" i="54"/>
  <c r="O15" i="54"/>
  <c r="O88" i="54"/>
  <c r="O38" i="54"/>
  <c r="O87" i="54"/>
  <c r="O25" i="54"/>
  <c r="O74" i="54"/>
  <c r="O49" i="54"/>
  <c r="O91" i="54"/>
  <c r="O79" i="54"/>
  <c r="O67" i="54"/>
  <c r="O55" i="54"/>
  <c r="O43" i="54"/>
  <c r="O29" i="54"/>
  <c r="O17" i="54"/>
  <c r="O54" i="54"/>
  <c r="O89" i="54"/>
  <c r="O26" i="54"/>
  <c r="O63" i="54"/>
  <c r="O62" i="54"/>
  <c r="O85" i="54"/>
  <c r="E39" i="2"/>
  <c r="G32" i="2"/>
  <c r="B2" i="2"/>
  <c r="AA24" i="39" l="1"/>
  <c r="AA15" i="39"/>
  <c r="AA26" i="39"/>
  <c r="AA17" i="39"/>
  <c r="AA25" i="39"/>
  <c r="AA19" i="39"/>
  <c r="AA22" i="39"/>
  <c r="AA27" i="39"/>
  <c r="AA23" i="39"/>
  <c r="AA21" i="39"/>
  <c r="AA18" i="39"/>
  <c r="AA16" i="39"/>
  <c r="AA20" i="39"/>
  <c r="E40" i="2"/>
  <c r="AR27" i="39" l="1"/>
  <c r="AQ22" i="39"/>
  <c r="AT22" i="39"/>
  <c r="AS22" i="39"/>
  <c r="AR22" i="39"/>
  <c r="AP22" i="39"/>
  <c r="AQ25" i="39"/>
  <c r="AS25" i="39"/>
  <c r="AT25" i="39"/>
  <c r="AR25" i="39"/>
  <c r="AP25" i="39"/>
  <c r="AR15" i="39"/>
  <c r="AT15" i="39"/>
  <c r="AQ15" i="39"/>
  <c r="AS15" i="39"/>
  <c r="AP15" i="39"/>
  <c r="AS18" i="39"/>
  <c r="AQ18" i="39"/>
  <c r="AP18" i="39"/>
  <c r="AT18" i="39"/>
  <c r="AR18" i="39"/>
  <c r="AQ21" i="39"/>
  <c r="AP21" i="39"/>
  <c r="AT21" i="39"/>
  <c r="AS21" i="39"/>
  <c r="AR21" i="39"/>
  <c r="AR16" i="39"/>
  <c r="AS16" i="39"/>
  <c r="AP16" i="39"/>
  <c r="AT16" i="39"/>
  <c r="AQ16" i="39"/>
  <c r="AT19" i="39"/>
  <c r="AS19" i="39"/>
  <c r="AR19" i="39"/>
  <c r="AQ19" i="39"/>
  <c r="AP19" i="39"/>
  <c r="AS17" i="39"/>
  <c r="AT17" i="39"/>
  <c r="AR17" i="39"/>
  <c r="AQ17" i="39"/>
  <c r="AP17" i="39"/>
  <c r="AT24" i="39"/>
  <c r="AS24" i="39"/>
  <c r="AQ24" i="39"/>
  <c r="AP24" i="39"/>
  <c r="AR24" i="39"/>
  <c r="AS23" i="39"/>
  <c r="AQ23" i="39"/>
  <c r="AP23" i="39"/>
  <c r="AR23" i="39"/>
  <c r="AT23" i="39"/>
  <c r="AS26" i="39"/>
  <c r="AP26" i="39"/>
  <c r="AR26" i="39"/>
  <c r="AT26" i="39"/>
  <c r="AQ26" i="39"/>
  <c r="AT20" i="39"/>
  <c r="AP20" i="39"/>
  <c r="AQ20" i="39"/>
  <c r="AR20" i="39"/>
  <c r="AS20" i="39"/>
  <c r="E41" i="2"/>
  <c r="E42" i="2" s="1"/>
  <c r="E43" i="2" s="1"/>
  <c r="E44" i="2" s="1"/>
  <c r="AA28" i="39"/>
  <c r="AB16" i="39"/>
  <c r="AB21" i="39"/>
  <c r="AB27" i="39"/>
  <c r="AB22" i="39"/>
  <c r="AB25" i="39"/>
  <c r="AB15" i="39"/>
  <c r="AB20" i="39"/>
  <c r="AB18" i="39"/>
  <c r="AB23" i="39"/>
  <c r="AB19" i="39"/>
  <c r="AB17" i="39"/>
  <c r="AB26" i="39"/>
  <c r="AB24" i="39"/>
  <c r="E9" i="9"/>
  <c r="AX27" i="39" l="1"/>
  <c r="BA27" i="39" s="1"/>
  <c r="AX15" i="39"/>
  <c r="AZ15" i="39"/>
  <c r="AW15" i="39"/>
  <c r="AV15" i="39"/>
  <c r="AY15" i="39"/>
  <c r="AX16" i="39"/>
  <c r="AZ16" i="39"/>
  <c r="AV16" i="39"/>
  <c r="AW16" i="39"/>
  <c r="AY16" i="39"/>
  <c r="AW22" i="39"/>
  <c r="AZ22" i="39"/>
  <c r="AY22" i="39"/>
  <c r="AX22" i="39"/>
  <c r="AV22" i="39"/>
  <c r="AZ24" i="39"/>
  <c r="AV24" i="39"/>
  <c r="AY24" i="39"/>
  <c r="AW24" i="39"/>
  <c r="AX24" i="39"/>
  <c r="AY26" i="39"/>
  <c r="AZ26" i="39"/>
  <c r="AV26" i="39"/>
  <c r="AW26" i="39"/>
  <c r="AX26" i="39"/>
  <c r="AY17" i="39"/>
  <c r="AW17" i="39"/>
  <c r="AV17" i="39"/>
  <c r="AX17" i="39"/>
  <c r="AZ17" i="39"/>
  <c r="AY23" i="39"/>
  <c r="AW23" i="39"/>
  <c r="AX23" i="39"/>
  <c r="AZ23" i="39"/>
  <c r="AV23" i="39"/>
  <c r="AY18" i="39"/>
  <c r="AZ18" i="39"/>
  <c r="AX18" i="39"/>
  <c r="AW18" i="39"/>
  <c r="AV18" i="39"/>
  <c r="AZ20" i="39"/>
  <c r="AW20" i="39"/>
  <c r="AX20" i="39"/>
  <c r="AY20" i="39"/>
  <c r="AV20" i="39"/>
  <c r="AW25" i="39"/>
  <c r="AY25" i="39"/>
  <c r="AZ25" i="39"/>
  <c r="AX25" i="39"/>
  <c r="AV25" i="39"/>
  <c r="AZ19" i="39"/>
  <c r="AW19" i="39"/>
  <c r="AX19" i="39"/>
  <c r="AV19" i="39"/>
  <c r="AY19" i="39"/>
  <c r="AW21" i="39"/>
  <c r="AZ21" i="39"/>
  <c r="AY21" i="39"/>
  <c r="AX21" i="39"/>
  <c r="AV21" i="39"/>
  <c r="AB28" i="39"/>
  <c r="E12" i="9"/>
  <c r="F12" i="9" s="1"/>
  <c r="E10" i="9"/>
  <c r="F10" i="9" s="1"/>
  <c r="E11" i="9"/>
  <c r="F11" i="9" s="1"/>
  <c r="F9" i="9"/>
  <c r="J15" i="23"/>
  <c r="BA21" i="39" l="1"/>
  <c r="AX14" i="39"/>
  <c r="AZ14" i="39"/>
  <c r="AW14" i="39"/>
  <c r="BA26" i="39"/>
  <c r="BA22" i="39"/>
  <c r="BA18" i="39"/>
  <c r="AV14" i="39"/>
  <c r="H9" i="9" s="1"/>
  <c r="BA24" i="39"/>
  <c r="BA25" i="39"/>
  <c r="BA20" i="39"/>
  <c r="BA17" i="39"/>
  <c r="BA19" i="39"/>
  <c r="BA16" i="39"/>
  <c r="AY14" i="39"/>
  <c r="BA23" i="39"/>
  <c r="BA15" i="39"/>
  <c r="F14" i="9"/>
  <c r="E14" i="9"/>
  <c r="G14" i="9" l="1"/>
  <c r="H10" i="9" l="1"/>
  <c r="I10" i="9" s="1"/>
  <c r="H11" i="9"/>
  <c r="I11" i="9" s="1"/>
  <c r="H12" i="9"/>
  <c r="I12" i="9" s="1"/>
  <c r="J12" i="9" l="1"/>
  <c r="J10" i="9"/>
  <c r="J11" i="9"/>
  <c r="H13" i="9"/>
  <c r="I13" i="9" s="1"/>
  <c r="I9" i="9" l="1"/>
  <c r="H14" i="9"/>
  <c r="J13" i="9"/>
  <c r="J9" i="9" l="1"/>
  <c r="J14" i="9" s="1"/>
  <c r="I14" i="9"/>
  <c r="P93" i="54"/>
</calcChain>
</file>

<file path=xl/sharedStrings.xml><?xml version="1.0" encoding="utf-8"?>
<sst xmlns="http://schemas.openxmlformats.org/spreadsheetml/2006/main" count="677" uniqueCount="388">
  <si>
    <t>Version No</t>
  </si>
  <si>
    <t>Date</t>
  </si>
  <si>
    <t>Comments</t>
  </si>
  <si>
    <t>Asset Inputs</t>
  </si>
  <si>
    <r>
      <rPr>
        <sz val="12"/>
        <color theme="1"/>
        <rFont val="Wingdings"/>
        <charset val="2"/>
      </rPr>
      <t>l</t>
    </r>
    <r>
      <rPr>
        <sz val="12"/>
        <color theme="1"/>
        <rFont val="Calibri"/>
        <family val="2"/>
      </rPr>
      <t xml:space="preserve"> </t>
    </r>
    <r>
      <rPr>
        <sz val="12"/>
        <color theme="1"/>
        <rFont val="Century Gothic"/>
        <family val="2"/>
        <scheme val="minor"/>
      </rPr>
      <t xml:space="preserve">Unit Cost of Passive Assets
</t>
    </r>
    <r>
      <rPr>
        <sz val="12"/>
        <color theme="1"/>
        <rFont val="Wingdings"/>
        <charset val="2"/>
      </rPr>
      <t xml:space="preserve">l </t>
    </r>
    <r>
      <rPr>
        <sz val="12"/>
        <color theme="1"/>
        <rFont val="Century Gothic"/>
        <family val="2"/>
        <scheme val="minor"/>
      </rPr>
      <t>Unit Cost of Land</t>
    </r>
  </si>
  <si>
    <t>General Input Sheet</t>
  </si>
  <si>
    <t>General Inputs</t>
  </si>
  <si>
    <t>Base Year</t>
  </si>
  <si>
    <t>YEAR</t>
  </si>
  <si>
    <t>Reference</t>
  </si>
  <si>
    <t>Value</t>
  </si>
  <si>
    <t>Discount Rate (WACC):</t>
  </si>
  <si>
    <t>Average 10 Year Bond Rate</t>
  </si>
  <si>
    <t>Margin</t>
  </si>
  <si>
    <t>WACC:</t>
  </si>
  <si>
    <t xml:space="preserve">Option 1 </t>
  </si>
  <si>
    <t>WACC1</t>
  </si>
  <si>
    <t>Capstr</t>
  </si>
  <si>
    <t>Capital Structure (% Debt)</t>
  </si>
  <si>
    <t>Risk</t>
  </si>
  <si>
    <t>Asset Beta</t>
  </si>
  <si>
    <t>AssetBeta</t>
  </si>
  <si>
    <t>Cost of Debt</t>
  </si>
  <si>
    <t>Debt</t>
  </si>
  <si>
    <t>WACC2</t>
  </si>
  <si>
    <t>Escalation Rates</t>
  </si>
  <si>
    <t>PPI</t>
  </si>
  <si>
    <t>Land Escalation</t>
  </si>
  <si>
    <t>Summary Cash flow Projections</t>
  </si>
  <si>
    <r>
      <rPr>
        <sz val="12"/>
        <color theme="1"/>
        <rFont val="Wingdings"/>
        <charset val="2"/>
      </rPr>
      <t>l</t>
    </r>
    <r>
      <rPr>
        <sz val="12"/>
        <color theme="1"/>
        <rFont val="Calibri"/>
        <family val="2"/>
      </rPr>
      <t xml:space="preserve"> </t>
    </r>
    <r>
      <rPr>
        <sz val="12"/>
        <color theme="1"/>
        <rFont val="Century Gothic"/>
        <family val="2"/>
        <scheme val="minor"/>
      </rPr>
      <t xml:space="preserve">Financial Inputs
</t>
    </r>
    <r>
      <rPr>
        <sz val="12"/>
        <color theme="1"/>
        <rFont val="Wingdings"/>
        <charset val="2"/>
      </rPr>
      <t xml:space="preserve">l </t>
    </r>
    <r>
      <rPr>
        <sz val="12"/>
        <color theme="1"/>
        <rFont val="Century Gothic"/>
        <family val="2"/>
        <scheme val="minor"/>
      </rPr>
      <t>Other "generic" inputs</t>
    </r>
  </si>
  <si>
    <t>ten (10) yr. average Roads and Bridges Index (ABS 6427, Table 15, Index 3101)</t>
  </si>
  <si>
    <t>General Financial Inputs</t>
  </si>
  <si>
    <t>Basic Margin on 10 Yr. Bond Rate</t>
  </si>
  <si>
    <t>Market Risk Premium</t>
  </si>
  <si>
    <t>Asset ID</t>
  </si>
  <si>
    <t>Description</t>
  </si>
  <si>
    <t>Valuation Year</t>
  </si>
  <si>
    <t>Asset Class</t>
  </si>
  <si>
    <t>Asset Data</t>
  </si>
  <si>
    <t>Catchment No</t>
  </si>
  <si>
    <t>TenYr</t>
  </si>
  <si>
    <t>LandInd</t>
  </si>
  <si>
    <t>Totals</t>
  </si>
  <si>
    <t xml:space="preserve"> </t>
  </si>
  <si>
    <t>TOTALS</t>
  </si>
  <si>
    <t>Escalation</t>
  </si>
  <si>
    <t>Option 2</t>
  </si>
  <si>
    <t>Capital Escalation - Future Cap X</t>
  </si>
  <si>
    <t>Roads and Bridges Index (ABS 6427, Table 15, Index 3101)</t>
  </si>
  <si>
    <t>Return to Navigation Pane</t>
  </si>
  <si>
    <t>Yes</t>
  </si>
  <si>
    <t>No</t>
  </si>
  <si>
    <t>DCFTRIGGER</t>
  </si>
  <si>
    <t>WACC Option to be applied in the calculation?</t>
  </si>
  <si>
    <t>Application of Discounted Cash flow</t>
  </si>
  <si>
    <t>Calculate charges using Discounted Cash flow? (Y/N)</t>
  </si>
  <si>
    <t>Catchment</t>
  </si>
  <si>
    <t>Demand</t>
  </si>
  <si>
    <t>TOTAL (A)+ (B)</t>
  </si>
  <si>
    <t>NPV Future (B)</t>
  </si>
  <si>
    <t>Existing (A)</t>
  </si>
  <si>
    <t>Existing (C)</t>
  </si>
  <si>
    <t>NPV Future (D)</t>
  </si>
  <si>
    <t>TOTAL (C)+ (D)</t>
  </si>
  <si>
    <t>Name</t>
  </si>
  <si>
    <t>Asset Usage</t>
  </si>
  <si>
    <t>Cost Allocation</t>
  </si>
  <si>
    <t>3.5% is the baseline figure quoted in LG Bulletin 06/01</t>
  </si>
  <si>
    <t>Capital Indexation Rates - Historical (June Qtr.)</t>
  </si>
  <si>
    <t>Future Trunk Assets</t>
  </si>
  <si>
    <t>Catchment Name</t>
  </si>
  <si>
    <t>Multiplier</t>
  </si>
  <si>
    <t>LGIP ID</t>
  </si>
  <si>
    <t>Basic Asset Data</t>
  </si>
  <si>
    <t>Basic Asset Valuation</t>
  </si>
  <si>
    <t>Refined Asset Value</t>
  </si>
  <si>
    <t>Asset Attributes</t>
  </si>
  <si>
    <t>Catchment Name (*)</t>
  </si>
  <si>
    <t>Councils ID (from GIS, FAR, AMA etc.)</t>
  </si>
  <si>
    <t>Gross cost (used for CF forecasts)</t>
  </si>
  <si>
    <t>Summary Cost Schedule</t>
  </si>
  <si>
    <r>
      <rPr>
        <sz val="12"/>
        <color theme="1"/>
        <rFont val="Wingdings"/>
        <charset val="2"/>
      </rPr>
      <t>l</t>
    </r>
    <r>
      <rPr>
        <sz val="12"/>
        <color theme="1"/>
        <rFont val="Calibri"/>
        <family val="2"/>
      </rPr>
      <t xml:space="preserve"> Estimates of current and future demand (per cost catchment)</t>
    </r>
  </si>
  <si>
    <t>Calculation Function</t>
  </si>
  <si>
    <t>Inputs</t>
  </si>
  <si>
    <t>Calculation</t>
  </si>
  <si>
    <t>Outputs</t>
  </si>
  <si>
    <r>
      <rPr>
        <sz val="12"/>
        <color theme="1"/>
        <rFont val="Wingdings"/>
        <charset val="2"/>
      </rPr>
      <t>l</t>
    </r>
    <r>
      <rPr>
        <sz val="12"/>
        <color theme="1"/>
        <rFont val="Calibri"/>
        <family val="2"/>
      </rPr>
      <t xml:space="preserve"> Summary of demand and cost allocation by catchment 
</t>
    </r>
    <r>
      <rPr>
        <sz val="12"/>
        <color theme="1"/>
        <rFont val="Wingdings"/>
        <charset val="2"/>
      </rPr>
      <t>l</t>
    </r>
    <r>
      <rPr>
        <sz val="12"/>
        <color theme="1"/>
        <rFont val="Calibri"/>
        <family val="2"/>
      </rPr>
      <t xml:space="preserve"> Final costs by catchment</t>
    </r>
  </si>
  <si>
    <t xml:space="preserve">Adjusted Current Day Value </t>
  </si>
  <si>
    <t>Term (between 15 and 30 years)</t>
  </si>
  <si>
    <t>TERM</t>
  </si>
  <si>
    <t>Location</t>
  </si>
  <si>
    <t xml:space="preserve">Author </t>
  </si>
  <si>
    <t>Land Value</t>
  </si>
  <si>
    <t>Land Valuation Type</t>
  </si>
  <si>
    <t>Land Location/Type</t>
  </si>
  <si>
    <t>Parks and Land for Community Facilities</t>
  </si>
  <si>
    <t>EXISTING TRUNK ASSETS</t>
  </si>
  <si>
    <t>Current Repalcement Cost</t>
  </si>
  <si>
    <t>DETAILED Forecast Demand Growth Profile (OPTIONAL)</t>
  </si>
  <si>
    <t>May be calculated from unit rates OR unique values can be direct entered</t>
  </si>
  <si>
    <t>Catchment Asset Allocation</t>
  </si>
  <si>
    <t>Local Government Infrastructure Plan (LGIP)</t>
  </si>
  <si>
    <t>Brisbane City Council</t>
  </si>
  <si>
    <t>Local</t>
  </si>
  <si>
    <t>District</t>
  </si>
  <si>
    <t>Size of land (m2) (*)</t>
  </si>
  <si>
    <t>PCF154</t>
  </si>
  <si>
    <t>Service Catchment</t>
  </si>
  <si>
    <t>Land Cost Valuation</t>
  </si>
  <si>
    <t>Year of Provision</t>
  </si>
  <si>
    <t>Land Cost Escalation</t>
  </si>
  <si>
    <t>Work Cost Escalation</t>
  </si>
  <si>
    <t xml:space="preserve">Cost of Trunk Infrastrcutrue </t>
  </si>
  <si>
    <t>Cost per Unit Demand (Average)</t>
  </si>
  <si>
    <t>Catchment based summary of demand, infrastructure (existing and new) and cost allocation
Infrastructure Cost calculation for each catchment
Optional Discounted Cashflow</t>
  </si>
  <si>
    <t>Land for Community Facilities</t>
  </si>
  <si>
    <t>Fringe</t>
  </si>
  <si>
    <t>Urban East</t>
  </si>
  <si>
    <t>Urban North</t>
  </si>
  <si>
    <t>Urban South</t>
  </si>
  <si>
    <t>Urban West</t>
  </si>
  <si>
    <t>Local/District</t>
  </si>
  <si>
    <t>Utility allowance ($56,000/site)</t>
  </si>
  <si>
    <t>EAF-CF-001</t>
  </si>
  <si>
    <t>MIT-CF-001</t>
  </si>
  <si>
    <t>WES-CF-001</t>
  </si>
  <si>
    <t>WSR-CF-001</t>
  </si>
  <si>
    <t>Land acquisition, basic site preparation and connection to services to provide DISTRICT COMMUNITY HUB</t>
  </si>
  <si>
    <t>Land acquisition, basic site preparation and connection to services to provide DISTRICT INTEGRATED FACILITY</t>
  </si>
  <si>
    <t>Land acquisition, basic site preparation and connection to services to provide LOCAL COMMUNITY CENTRE</t>
  </si>
  <si>
    <t>Land acquisition, basic site preparation and connection to services to provide LOCAL COMMUNITY CENTRE AND LIBRARY EXTENSION</t>
  </si>
  <si>
    <t>IND-CF-001</t>
  </si>
  <si>
    <t>Spare Capacity</t>
  </si>
  <si>
    <t>Applicable to project year of provision at 2024</t>
  </si>
  <si>
    <t>Share of the total Cost with the same year of provision %</t>
  </si>
  <si>
    <t>For Summary Cost Calculation</t>
  </si>
  <si>
    <t>Cost Allocation for Service Cost Schedule</t>
  </si>
  <si>
    <t xml:space="preserve"> % of cost which is relevant for Summary Cost Calculation</t>
  </si>
  <si>
    <t>Data References</t>
  </si>
  <si>
    <t>PCF211</t>
  </si>
  <si>
    <r>
      <rPr>
        <sz val="12"/>
        <color theme="1"/>
        <rFont val="Wingdings"/>
        <charset val="2"/>
      </rPr>
      <t>l</t>
    </r>
    <r>
      <rPr>
        <sz val="12"/>
        <color theme="1"/>
        <rFont val="Calibri"/>
        <family val="2"/>
      </rPr>
      <t xml:space="preserve"> Summary of forecast Cap X and anticipated IC revenues</t>
    </r>
    <r>
      <rPr>
        <sz val="11"/>
        <color theme="1"/>
        <rFont val="Calibri"/>
        <family val="2"/>
      </rPr>
      <t>. Refer to Revenue and Cash Flow model for output.</t>
    </r>
  </si>
  <si>
    <t>BCC</t>
  </si>
  <si>
    <t>PCF131</t>
  </si>
  <si>
    <t>PCF153</t>
  </si>
  <si>
    <t>PCF192</t>
  </si>
  <si>
    <t>SBR-CF-001</t>
  </si>
  <si>
    <t>Principal</t>
  </si>
  <si>
    <t>Land acquisition, basic site preparation and connection to services to provide PRINCIPAL INDOOR SPORTS CENTRE</t>
  </si>
  <si>
    <t>PCF212</t>
  </si>
  <si>
    <t>PCF171</t>
  </si>
  <si>
    <t>PCF275</t>
  </si>
  <si>
    <t>ROC-CF-002</t>
  </si>
  <si>
    <t>INA-CF-003</t>
  </si>
  <si>
    <t>PCF174</t>
  </si>
  <si>
    <t>MOR-CF-001</t>
  </si>
  <si>
    <t>Land acquisition, basic site preparation and connection to services to provide AQUATIC CENTRE EXTENSION</t>
  </si>
  <si>
    <t>PCF254</t>
  </si>
  <si>
    <t>UMG-CF-001</t>
  </si>
  <si>
    <t>PCF252</t>
  </si>
  <si>
    <t>Land acquisition, basic site preparation and connection to services to provide DISTRICT AQUATIC CENTRE</t>
  </si>
  <si>
    <t>EVP-CF-001</t>
  </si>
  <si>
    <t>Basic site preparation and connection to services to provide DISTRICT LIBRARY EXTENSION</t>
  </si>
  <si>
    <t>PCF291</t>
  </si>
  <si>
    <t>INA-CF-002</t>
  </si>
  <si>
    <t>Basic site preparation and connection to services to provide DISTRICT COMMUNITY HUB</t>
  </si>
  <si>
    <t>EXIT-CF-107</t>
  </si>
  <si>
    <t>EXIT-CF-108</t>
  </si>
  <si>
    <t>EXIT-CF-109a</t>
  </si>
  <si>
    <t>EXIT-CF-109b</t>
  </si>
  <si>
    <t>EXIT-CF-110a</t>
  </si>
  <si>
    <t>EXIT-CF-110b</t>
  </si>
  <si>
    <t>EXIT-CF-111</t>
  </si>
  <si>
    <t>EXIT-CF-112</t>
  </si>
  <si>
    <t>EXIT-CF-115</t>
  </si>
  <si>
    <t>EXIT-CF-120</t>
  </si>
  <si>
    <t>EXIT-CF-122a</t>
  </si>
  <si>
    <t>EXIT-CF-122b</t>
  </si>
  <si>
    <t>EXIT-CF-123a</t>
  </si>
  <si>
    <t>EXIT-CF-123b</t>
  </si>
  <si>
    <t>EXIT-CF-126</t>
  </si>
  <si>
    <t>EXIT-CF-128</t>
  </si>
  <si>
    <t>EXIT-CF-132</t>
  </si>
  <si>
    <t>EXIT-CF-133</t>
  </si>
  <si>
    <t>EXIT-CF-136</t>
  </si>
  <si>
    <t>EXIT-CF-138</t>
  </si>
  <si>
    <t>EXIT-CF-140</t>
  </si>
  <si>
    <t>EXIT-CF-141</t>
  </si>
  <si>
    <t>EXIT-CF-142</t>
  </si>
  <si>
    <t>EXIT-CF-143</t>
  </si>
  <si>
    <t>EXIT-CF-149</t>
  </si>
  <si>
    <t>EXIT-CF-151</t>
  </si>
  <si>
    <t>EXIT-CF-153</t>
  </si>
  <si>
    <t>EXIT-CF-156a</t>
  </si>
  <si>
    <t>EXIT-CF-156b</t>
  </si>
  <si>
    <t>EXIT-CF-156c</t>
  </si>
  <si>
    <t>EXIT-CF-158a</t>
  </si>
  <si>
    <t>EXIT-CF-162</t>
  </si>
  <si>
    <t>EXIT-CF-166</t>
  </si>
  <si>
    <t>EXIT-CF-170a</t>
  </si>
  <si>
    <t>EXIT-CF-170b</t>
  </si>
  <si>
    <t>EXIT-CF-171</t>
  </si>
  <si>
    <t>EXIT-CF-176a</t>
  </si>
  <si>
    <t>EXIT-CF-176b</t>
  </si>
  <si>
    <t>EXIT-CF-176c</t>
  </si>
  <si>
    <t>EXIT-CF-178</t>
  </si>
  <si>
    <t>EXIT-CF-181</t>
  </si>
  <si>
    <t>EXIT-CF-185</t>
  </si>
  <si>
    <t>EXIT-CF-189</t>
  </si>
  <si>
    <t>EXIT-CF-192</t>
  </si>
  <si>
    <t>EXIT-CF-193</t>
  </si>
  <si>
    <t>EXIT-CF-194</t>
  </si>
  <si>
    <t>EXIT-CF-197</t>
  </si>
  <si>
    <t>EXIT-CF-198</t>
  </si>
  <si>
    <t>EXIT-CF-199</t>
  </si>
  <si>
    <t>EXIT-CF-200a</t>
  </si>
  <si>
    <t>EXIT-CF-200b</t>
  </si>
  <si>
    <t>EXIT-CF-202</t>
  </si>
  <si>
    <t>EXIT-CF-204</t>
  </si>
  <si>
    <t>EXIT-CF-215</t>
  </si>
  <si>
    <t>EXIT-CF-225b</t>
  </si>
  <si>
    <t>EXIT-CF-225c</t>
  </si>
  <si>
    <t>EXIT-CF-228</t>
  </si>
  <si>
    <t>EXIT-CF-243a</t>
  </si>
  <si>
    <t>EXIT-CF-243b</t>
  </si>
  <si>
    <t>EXIT-CF-247</t>
  </si>
  <si>
    <t>EXIT-CF-252a</t>
  </si>
  <si>
    <t>EXIT-CF-252b</t>
  </si>
  <si>
    <t>EXIT-CF-253</t>
  </si>
  <si>
    <t>EXIT-CF-261c</t>
  </si>
  <si>
    <t>EXIT-CF-262</t>
  </si>
  <si>
    <t>EXIT-CF-263</t>
  </si>
  <si>
    <t>EXIT-CF-280</t>
  </si>
  <si>
    <t>EXIT-CF-312</t>
  </si>
  <si>
    <t>EXIT-CF-340</t>
  </si>
  <si>
    <t>EXIT-CF-344</t>
  </si>
  <si>
    <t>EXIT-CF-351</t>
  </si>
  <si>
    <t>EXIT-CF-390b</t>
  </si>
  <si>
    <t>EXIT-CF-400</t>
  </si>
  <si>
    <t>EXIT-CF-410</t>
  </si>
  <si>
    <t>EXIT-CF-419</t>
  </si>
  <si>
    <t>EXIT-CF-442</t>
  </si>
  <si>
    <t>EXIT-CF-443</t>
  </si>
  <si>
    <t>EXIT-CF-444</t>
  </si>
  <si>
    <t>EXIT-CF-445</t>
  </si>
  <si>
    <t>EXIT-CF-456</t>
  </si>
  <si>
    <t>Metro</t>
  </si>
  <si>
    <t>Kindergarten</t>
  </si>
  <si>
    <t>AUSTRALIAN PENSIONERS &amp; SUPERANNUANTS LEAGUE QUEENSLAND</t>
  </si>
  <si>
    <t>WEST END LIBRARY</t>
  </si>
  <si>
    <t>Bracken Ridge Hall</t>
  </si>
  <si>
    <t>BRACKEN RIDGE LIBRARY</t>
  </si>
  <si>
    <t>Sandgate Hall</t>
  </si>
  <si>
    <t>SANDGATE LIBRARY</t>
  </si>
  <si>
    <t>ITHACA POOL</t>
  </si>
  <si>
    <t>UPPER KEDRON (CEDAR CREEK) HALL BUILDING</t>
  </si>
  <si>
    <t>MT GRAVATT LIBRARY</t>
  </si>
  <si>
    <t>FAIRFIELD LIBRARY</t>
  </si>
  <si>
    <t>WYNNUM LIBRARY</t>
  </si>
  <si>
    <t>WYNNUM COMMUNITY CENTRE BUILDING A</t>
  </si>
  <si>
    <t>MOOROOKA COMMUNITY HALL BUILDING</t>
  </si>
  <si>
    <t>Spinal Home Help Inc.</t>
  </si>
  <si>
    <t>RUNCORN POOL</t>
  </si>
  <si>
    <t>KEDRON SUBSTATION BUILDING</t>
  </si>
  <si>
    <t>STONES CORNER LIBRARY</t>
  </si>
  <si>
    <t>Jindalee Swimming Pool</t>
  </si>
  <si>
    <t>ZILLMERE COMMUNITY HALL BUILDING</t>
  </si>
  <si>
    <t>COOPERS PLAINS LIBRARY</t>
  </si>
  <si>
    <t>KYABRA COMMUNITY ASSOCIATION INC.</t>
  </si>
  <si>
    <t>NORTHGATE COMMUNITY HALL BUILDING</t>
  </si>
  <si>
    <t>HOLLAND PARK LIBRARY</t>
  </si>
  <si>
    <t>CAROLE PARK SWIMMING POOL</t>
  </si>
  <si>
    <t>Scouts Association</t>
  </si>
  <si>
    <t>Metro Arts Ltd.</t>
  </si>
  <si>
    <t>ZILLMERE LIBRARY</t>
  </si>
  <si>
    <t>CITY HALL BUILDING - rooms</t>
  </si>
  <si>
    <t>CITY HALL BUILDING - Museum of Brisbane</t>
  </si>
  <si>
    <t>CITY HALL BUILDING - stage</t>
  </si>
  <si>
    <t>MT OMMANEY LIBRARY</t>
  </si>
  <si>
    <t>CARINDALE LIBRARY</t>
  </si>
  <si>
    <t>KENMORE LIBRARY</t>
  </si>
  <si>
    <t>Hibiscus Swimming Pool</t>
  </si>
  <si>
    <t>Hibiscus Sports Complex</t>
  </si>
  <si>
    <t>BRISBANE SQUARE LIBRARY</t>
  </si>
  <si>
    <t>Inala Arts</t>
  </si>
  <si>
    <t>INALA ART GALLERY BUILDING</t>
  </si>
  <si>
    <t>INALA LIBRARY</t>
  </si>
  <si>
    <t>SUNNYBANK HILLS LIBRARY</t>
  </si>
  <si>
    <t>NORTH EAST COMMUNITY SUPPORT GROUP INC.</t>
  </si>
  <si>
    <t>BULIMBA LIBRARY</t>
  </si>
  <si>
    <t>ITHACA HALL BUILDING</t>
  </si>
  <si>
    <t>SANDGATE &amp; DISTRICT MEALS ON WHEELS INC.</t>
  </si>
  <si>
    <t>INALA COMMUNITY HOUSE</t>
  </si>
  <si>
    <t>Spring Hill Baths</t>
  </si>
  <si>
    <t>VALLEY SWIMMING POOL</t>
  </si>
  <si>
    <t>TOOMBUL SHIRE HALL BUILDING</t>
  </si>
  <si>
    <t>SUNNYBANK THEATRE GROUP INC</t>
  </si>
  <si>
    <t>HAMILTON TOWN HALL BUILDING</t>
  </si>
  <si>
    <t>HAMILTON LIBRARY</t>
  </si>
  <si>
    <t>INDOOROOPILLY LIBRARY</t>
  </si>
  <si>
    <t>WYNNUM COMMUNITY HALL BUILDING</t>
  </si>
  <si>
    <t>MT GRAVATT EAST SWIMMING POOL</t>
  </si>
  <si>
    <t>BRISBANE POWERHOUSE TURBINE HALl</t>
  </si>
  <si>
    <t>BRISBANE POWERHOUSE</t>
  </si>
  <si>
    <t>TOOWONG LIBRARY</t>
  </si>
  <si>
    <t>VISIBLE INK</t>
  </si>
  <si>
    <t>Maida Lilley Community Centre</t>
  </si>
  <si>
    <t>ASHGROVE LIBRARY</t>
  </si>
  <si>
    <t>ANNERLEY HALL BUILDING</t>
  </si>
  <si>
    <t>ANNERLEY LIBRARY</t>
  </si>
  <si>
    <t>GARDEN CITY LIBRARY</t>
  </si>
  <si>
    <t>CHERMSIDE LIBRARY</t>
  </si>
  <si>
    <t>GRANGE COMMUNITY HALL</t>
  </si>
  <si>
    <t>Sunnybank Community Centre</t>
  </si>
  <si>
    <t>BRISBANE JAZZ CLUB INC</t>
  </si>
  <si>
    <t>LINK VISION INC.</t>
  </si>
  <si>
    <t>SISTERS OF THE GOOD SAMARITAN FOUNDATION LTD.</t>
  </si>
  <si>
    <t>KOOBARA ABORIGINAL &amp; ISLANDER FAMILY RESOURCE CENTRE INC.</t>
  </si>
  <si>
    <t>MULTICULTURAL DEVELOPMENT ASSOCIATION INC.</t>
  </si>
  <si>
    <t>SHED WEST COMMUNITY MEN'S SHED INC.</t>
  </si>
  <si>
    <t>Hibiscus Gardens Youth Space</t>
  </si>
  <si>
    <t>Hands on Art Inc.</t>
  </si>
  <si>
    <t>Rotary Club of Jindalee Inc.</t>
  </si>
  <si>
    <t>MacArthur Museum Brisbane</t>
  </si>
  <si>
    <t>Brisbane School of Arts</t>
  </si>
  <si>
    <t>PCF53</t>
  </si>
  <si>
    <t>PCF54</t>
  </si>
  <si>
    <t>PCF172</t>
  </si>
  <si>
    <t>PCF129</t>
  </si>
  <si>
    <t>PCF177</t>
  </si>
  <si>
    <t>PCF294</t>
  </si>
  <si>
    <t>PCF133</t>
  </si>
  <si>
    <t>PCF213</t>
  </si>
  <si>
    <t>PCF230</t>
  </si>
  <si>
    <t>PCF93</t>
  </si>
  <si>
    <t>PCF273</t>
  </si>
  <si>
    <t>PCF290</t>
  </si>
  <si>
    <t>PCF114</t>
  </si>
  <si>
    <t>PCF232</t>
  </si>
  <si>
    <t>PCF234</t>
  </si>
  <si>
    <t>PCF309</t>
  </si>
  <si>
    <t>PCF193</t>
  </si>
  <si>
    <t>PCF249</t>
  </si>
  <si>
    <t>PCF215</t>
  </si>
  <si>
    <t>PCF209</t>
  </si>
  <si>
    <t>PCF313</t>
  </si>
  <si>
    <t>PCF311</t>
  </si>
  <si>
    <t>PCF173</t>
  </si>
  <si>
    <t>PCF293</t>
  </si>
  <si>
    <t>PCF255</t>
  </si>
  <si>
    <t>PCF191</t>
  </si>
  <si>
    <t>PCF274</t>
  </si>
  <si>
    <t>PCF113</t>
  </si>
  <si>
    <t>PCF152</t>
  </si>
  <si>
    <t>PCF34</t>
  </si>
  <si>
    <t>PCF73</t>
  </si>
  <si>
    <t>PCF92</t>
  </si>
  <si>
    <t>PCF132</t>
  </si>
  <si>
    <t>PCF270</t>
  </si>
  <si>
    <t>Construction Contingency Cost ($)</t>
  </si>
  <si>
    <t>Hierarchy/Name</t>
  </si>
  <si>
    <t>Direct Construction Cost</t>
  </si>
  <si>
    <t>Construction Contingency Rate %</t>
  </si>
  <si>
    <t>Project Owners Cost (23% Direct Construction Cost)($)</t>
  </si>
  <si>
    <t>Total Construction Cost ($)</t>
  </si>
  <si>
    <t>Spare Capacity (%)</t>
  </si>
  <si>
    <t>Terminal Value Analysis</t>
  </si>
  <si>
    <t>Terminal Value Adjustment (%)</t>
  </si>
  <si>
    <t>Establishment Cost</t>
  </si>
  <si>
    <t>Establishment Cost (Escalated)</t>
  </si>
  <si>
    <t>Net Present Value of Establishment Cost</t>
  </si>
  <si>
    <t>NPV Establishment Cost after Terminal Value Adjustment</t>
  </si>
  <si>
    <t>ten (10) yr. average Consumer Price Index Roads between 2011 - 2021  (Mar Qtr.)</t>
  </si>
  <si>
    <t>three (3) yr. rolling average Consumer Price Index (ABS 6427, Table 17, Index 3101, Series ID: A2333727L)</t>
  </si>
  <si>
    <t>Area size (m2)</t>
  </si>
  <si>
    <t>Construction Cost</t>
  </si>
  <si>
    <t>Construction Unit Rate ($/m)</t>
  </si>
  <si>
    <t>Land Unit Rate ($/m2)</t>
  </si>
  <si>
    <t>Size of Land (m2)</t>
  </si>
  <si>
    <t>1. Project costs are on costs to undertake detailed design, survey, geotechnical investigations, project management, and supervision of construction works and obtain certification from a Registered Professional Engineer of Queensland. Project costs equate to 23% of the direct construction costs.
2. Contingency costs are based on the project delivery date, and applied to the direct construction cost, and project cost. Contingencies equate to 7.5% for projects with a delivery date up to 2024, 15% for projects with a delivery date up to 2029 and 20% for projects with a delivery date up to 2034.
3. Total embellishment cost is the sum of direct embellishment cost, indirect embellishment cost, project cost and construction contingency cost. 
4. Terminal Value Adjustment is only applicable to items that have an estimated completion date between 2026 and 2036, items value exceeds 20% of the total network value in the same catchment and same year of provision, and items catchment has spare capacity greater than 30%.</t>
  </si>
  <si>
    <t>Cost Allocation based on Net Present Value of Establishment Cost</t>
  </si>
  <si>
    <t>TOO-CF-002</t>
  </si>
  <si>
    <t>Unit Rates</t>
  </si>
  <si>
    <t>Demand Forecast</t>
  </si>
  <si>
    <t>Existing Trunk Assets (&amp; Catchments Served)</t>
  </si>
  <si>
    <t>Future Trunk Assets (&amp; Catchments Served)</t>
  </si>
  <si>
    <t>ID from the LGIP PFTI maps</t>
  </si>
  <si>
    <t>Catchment Demand (equivalent persons)</t>
  </si>
  <si>
    <t>LGIP amendment 1B - Land for Community Facilities Network - Schedule of Works model. Effective 27th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</si>
</sst>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00_);_(&quot;$&quot;* \(#,##0.00\);_(&quot;$&quot;* &quot;-&quot;??_);_(@_)"/>
    <numFmt numFmtId="165" formatCode="_(* #,##0.00_);_(* \(#,##0.00\);_(* &quot;-&quot;??_);_(@_)"/>
    <numFmt numFmtId="166" formatCode="_-* #,##0_-;\-* #,##0_-;_-* &quot;-&quot;??_-;_-@_-"/>
    <numFmt numFmtId="167" formatCode="_-&quot;$&quot;* #,##0_-;\-&quot;$&quot;* #,##0_-;_-&quot;$&quot;* &quot;-&quot;??_-;_-@_-"/>
    <numFmt numFmtId="168" formatCode="_-* #,##0.000_-;\-* #,##0.000_-;_-* &quot;-&quot;??_-;_-@_-"/>
    <numFmt numFmtId="169" formatCode="&quot;$&quot;#,##0"/>
    <numFmt numFmtId="170" formatCode="0.0%"/>
    <numFmt numFmtId="171" formatCode="_-#,##0_-;\(#,##0\);_-&quot;-&quot;_-;_-@_-"/>
    <numFmt numFmtId="172" formatCode="_(&quot;$&quot;* #,##0_);_(&quot;$&quot;* \(#,##0\);_(&quot;$&quot;* &quot;-&quot;??_);_(@_)"/>
  </numFmts>
  <fonts count="37">
    <font>
      <sz val="11"/>
      <color theme="1"/>
      <name val="Century Gothic"/>
      <family val="2"/>
      <scheme val="minor"/>
    </font>
    <font>
      <sz val="12"/>
      <color theme="1"/>
      <name val="Century Gothic"/>
      <family val="2"/>
      <scheme val="minor"/>
    </font>
    <font>
      <sz val="11"/>
      <color theme="1"/>
      <name val="Century Gothic"/>
      <family val="2"/>
      <scheme val="minor"/>
    </font>
    <font>
      <b/>
      <sz val="11"/>
      <color theme="0"/>
      <name val="Century Gothic"/>
      <family val="2"/>
      <scheme val="minor"/>
    </font>
    <font>
      <b/>
      <sz val="11"/>
      <color theme="1"/>
      <name val="Century Gothic"/>
      <family val="2"/>
      <scheme val="minor"/>
    </font>
    <font>
      <sz val="11"/>
      <color theme="0"/>
      <name val="Century Gothic"/>
      <family val="2"/>
      <scheme val="minor"/>
    </font>
    <font>
      <b/>
      <sz val="18"/>
      <color theme="1"/>
      <name val="Century Gothic"/>
      <family val="2"/>
      <scheme val="minor"/>
    </font>
    <font>
      <b/>
      <sz val="20"/>
      <color theme="1"/>
      <name val="Arial"/>
      <family val="2"/>
    </font>
    <font>
      <b/>
      <sz val="12"/>
      <color theme="1"/>
      <name val="Arial"/>
      <family val="2"/>
    </font>
    <font>
      <sz val="12"/>
      <color theme="1"/>
      <name val="Arial"/>
      <family val="2"/>
    </font>
    <font>
      <u/>
      <sz val="11"/>
      <color theme="10"/>
      <name val="Century Gothic"/>
      <family val="2"/>
      <scheme val="minor"/>
    </font>
    <font>
      <b/>
      <u/>
      <sz val="18"/>
      <name val="Century Gothic"/>
      <family val="2"/>
      <scheme val="minor"/>
    </font>
    <font>
      <b/>
      <sz val="11"/>
      <name val="Century Gothic"/>
      <family val="2"/>
      <scheme val="minor"/>
    </font>
    <font>
      <sz val="12"/>
      <color theme="1"/>
      <name val="Century Gothic"/>
      <family val="2"/>
      <scheme val="minor"/>
    </font>
    <font>
      <sz val="14"/>
      <color theme="1"/>
      <name val="Century Gothic"/>
      <family val="2"/>
      <scheme val="minor"/>
    </font>
    <font>
      <sz val="12"/>
      <color theme="1"/>
      <name val="Wingdings"/>
      <charset val="2"/>
    </font>
    <font>
      <sz val="12"/>
      <color theme="1"/>
      <name val="Calibri"/>
      <family val="2"/>
    </font>
    <font>
      <sz val="9"/>
      <color theme="1"/>
      <name val="Century Gothic"/>
      <family val="2"/>
      <scheme val="minor"/>
    </font>
    <font>
      <b/>
      <sz val="9"/>
      <color theme="1"/>
      <name val="Century Gothic"/>
      <family val="2"/>
      <scheme val="minor"/>
    </font>
    <font>
      <sz val="8"/>
      <color theme="1"/>
      <name val="Century Gothic"/>
      <family val="2"/>
      <scheme val="minor"/>
    </font>
    <font>
      <u/>
      <sz val="12"/>
      <color theme="1"/>
      <name val="Calibri"/>
      <family val="2"/>
    </font>
    <font>
      <u/>
      <sz val="12"/>
      <color theme="1"/>
      <name val="Century Gothic"/>
      <family val="2"/>
      <scheme val="minor"/>
    </font>
    <font>
      <sz val="11"/>
      <color theme="1"/>
      <name val="Calibri"/>
      <family val="2"/>
    </font>
    <font>
      <b/>
      <sz val="14"/>
      <color theme="1"/>
      <name val="Arial"/>
      <family val="2"/>
    </font>
    <font>
      <b/>
      <sz val="20"/>
      <color theme="1"/>
      <name val="Century Gothic"/>
      <family val="2"/>
      <scheme val="minor"/>
    </font>
    <font>
      <b/>
      <u/>
      <sz val="20"/>
      <color theme="1"/>
      <name val="Century Gothic"/>
      <family val="2"/>
      <scheme val="minor"/>
    </font>
    <font>
      <sz val="9"/>
      <color theme="1"/>
      <name val="Arial"/>
      <family val="2"/>
    </font>
    <font>
      <sz val="11"/>
      <color theme="8" tint="0.79998168889431442"/>
      <name val="Century Gothic"/>
      <family val="2"/>
      <scheme val="minor"/>
    </font>
    <font>
      <sz val="8"/>
      <color indexed="12"/>
      <name val="Arial"/>
      <family val="2"/>
    </font>
    <font>
      <u/>
      <sz val="11"/>
      <color theme="1"/>
      <name val="Century Gothic"/>
      <family val="2"/>
      <scheme val="minor"/>
    </font>
    <font>
      <i/>
      <sz val="10"/>
      <color theme="1"/>
      <name val="Century Gothic"/>
      <family val="2"/>
      <scheme val="minor"/>
    </font>
    <font>
      <sz val="12"/>
      <color theme="1"/>
      <name val="Century Gothic"/>
      <family val="2"/>
      <scheme val="major"/>
    </font>
    <font>
      <sz val="10"/>
      <name val="Arial"/>
      <family val="2"/>
    </font>
    <font>
      <sz val="11"/>
      <color theme="1"/>
      <name val="Calibri"/>
      <family val="2"/>
      <charset val="2"/>
    </font>
    <font>
      <sz val="11"/>
      <name val="Century Gothic"/>
      <family val="2"/>
      <scheme val="minor"/>
    </font>
    <font>
      <b/>
      <sz val="15"/>
      <color theme="3"/>
      <name val="Century Gothic"/>
      <family val="2"/>
      <scheme val="minor"/>
    </font>
    <font>
      <b/>
      <sz val="12"/>
      <name val="Century Gothic"/>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8F8F8"/>
        <bgColor indexed="64"/>
      </patternFill>
    </fill>
    <fill>
      <patternFill patternType="solid">
        <fgColor rgb="FFFFFFFF"/>
        <bgColor indexed="64"/>
      </patternFill>
    </fill>
    <fill>
      <patternFill patternType="solid">
        <fgColor theme="6" tint="0.79998168889431442"/>
        <bgColor indexed="64"/>
      </patternFill>
    </fill>
    <fill>
      <patternFill patternType="solid">
        <fgColor indexed="41"/>
        <bgColor indexed="64"/>
      </patternFill>
    </fill>
    <fill>
      <patternFill patternType="solid">
        <fgColor theme="4"/>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medium">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dotted">
        <color indexed="64"/>
      </top>
      <bottom/>
      <diagonal/>
    </border>
    <border>
      <left/>
      <right/>
      <top style="dotted">
        <color indexed="64"/>
      </top>
      <bottom style="dotted">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bottom style="thick">
        <color theme="4"/>
      </bottom>
      <diagonal/>
    </border>
    <border>
      <left style="dotted">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dotted">
        <color indexed="64"/>
      </bottom>
      <diagonal/>
    </border>
  </borders>
  <cellStyleXfs count="9">
    <xf numFmtId="0" fontId="0" fillId="0" borderId="0"/>
    <xf numFmtId="165"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164" fontId="2" fillId="0" borderId="0" applyFont="0" applyFill="0" applyBorder="0" applyAlignment="0" applyProtection="0"/>
    <xf numFmtId="171" fontId="28" fillId="15" borderId="73">
      <alignment horizontal="right"/>
      <protection locked="0"/>
    </xf>
    <xf numFmtId="9" fontId="32" fillId="0" borderId="0" applyFont="0" applyFill="0" applyBorder="0" applyAlignment="0" applyProtection="0"/>
    <xf numFmtId="165" fontId="2" fillId="0" borderId="0" applyFont="0" applyFill="0" applyBorder="0" applyAlignment="0" applyProtection="0"/>
    <xf numFmtId="0" fontId="35" fillId="0" borderId="82" applyNumberFormat="0" applyFill="0" applyAlignment="0" applyProtection="0"/>
  </cellStyleXfs>
  <cellXfs count="450">
    <xf numFmtId="0" fontId="0" fillId="0" borderId="0" xfId="0"/>
    <xf numFmtId="0" fontId="0" fillId="2" borderId="0" xfId="0" applyFill="1"/>
    <xf numFmtId="0" fontId="3" fillId="4" borderId="14" xfId="0" applyFont="1" applyFill="1" applyBorder="1" applyAlignment="1">
      <alignment horizontal="center" textRotation="90"/>
    </xf>
    <xf numFmtId="0" fontId="3" fillId="4" borderId="21" xfId="0" applyFont="1" applyFill="1" applyBorder="1" applyAlignment="1">
      <alignment horizontal="center" textRotation="90"/>
    </xf>
    <xf numFmtId="0" fontId="5" fillId="4" borderId="14" xfId="0" applyFont="1" applyFill="1" applyBorder="1" applyAlignment="1">
      <alignment horizontal="center"/>
    </xf>
    <xf numFmtId="0" fontId="5" fillId="4" borderId="13" xfId="0" applyFont="1" applyFill="1" applyBorder="1" applyAlignment="1">
      <alignment horizontal="center"/>
    </xf>
    <xf numFmtId="0" fontId="3" fillId="4" borderId="13" xfId="0" applyFont="1" applyFill="1" applyBorder="1" applyAlignment="1">
      <alignment horizontal="center" wrapText="1"/>
    </xf>
    <xf numFmtId="0" fontId="3" fillId="4" borderId="14" xfId="0" applyFont="1" applyFill="1" applyBorder="1" applyAlignment="1">
      <alignment horizontal="center"/>
    </xf>
    <xf numFmtId="0" fontId="3" fillId="4" borderId="13" xfId="0" applyFont="1" applyFill="1" applyBorder="1" applyAlignment="1">
      <alignment horizontal="center"/>
    </xf>
    <xf numFmtId="0" fontId="3" fillId="4" borderId="40" xfId="0" applyFont="1" applyFill="1" applyBorder="1" applyAlignment="1">
      <alignment horizontal="center"/>
    </xf>
    <xf numFmtId="0" fontId="3" fillId="4" borderId="41" xfId="0" applyFont="1" applyFill="1" applyBorder="1" applyAlignment="1">
      <alignment horizontal="center"/>
    </xf>
    <xf numFmtId="0" fontId="3" fillId="4" borderId="42" xfId="0" applyFont="1" applyFill="1" applyBorder="1" applyAlignment="1">
      <alignment horizontal="center"/>
    </xf>
    <xf numFmtId="9" fontId="0" fillId="2" borderId="0" xfId="2" applyFont="1" applyFill="1"/>
    <xf numFmtId="0" fontId="3" fillId="4" borderId="16" xfId="0" applyFont="1" applyFill="1" applyBorder="1" applyAlignment="1">
      <alignment horizontal="center" textRotation="90"/>
    </xf>
    <xf numFmtId="0" fontId="3" fillId="4" borderId="26" xfId="0" applyFont="1" applyFill="1" applyBorder="1" applyAlignment="1">
      <alignment horizontal="center" textRotation="90"/>
    </xf>
    <xf numFmtId="0" fontId="3" fillId="4" borderId="34" xfId="0" applyFont="1" applyFill="1" applyBorder="1" applyAlignment="1">
      <alignment horizontal="center" textRotation="90"/>
    </xf>
    <xf numFmtId="10" fontId="0" fillId="2" borderId="0" xfId="0" applyNumberFormat="1" applyFill="1"/>
    <xf numFmtId="0" fontId="0" fillId="12" borderId="0" xfId="0" applyFill="1"/>
    <xf numFmtId="0" fontId="0" fillId="13" borderId="0" xfId="0" applyFill="1"/>
    <xf numFmtId="0" fontId="23" fillId="13" borderId="0" xfId="0" applyFont="1" applyFill="1"/>
    <xf numFmtId="0" fontId="8" fillId="13" borderId="0" xfId="0" applyFont="1" applyFill="1"/>
    <xf numFmtId="0" fontId="8" fillId="13" borderId="1" xfId="0" applyFont="1" applyFill="1" applyBorder="1"/>
    <xf numFmtId="0" fontId="0" fillId="13" borderId="1" xfId="0" applyFill="1" applyBorder="1"/>
    <xf numFmtId="0" fontId="9" fillId="13" borderId="0" xfId="0" applyFont="1" applyFill="1"/>
    <xf numFmtId="0" fontId="16" fillId="13" borderId="6" xfId="0" applyFont="1" applyFill="1" applyBorder="1" applyAlignment="1">
      <alignment horizontal="center" vertical="center" wrapText="1"/>
    </xf>
    <xf numFmtId="0" fontId="14" fillId="13" borderId="0" xfId="0" applyFont="1" applyFill="1" applyAlignment="1">
      <alignment vertical="center" wrapText="1"/>
    </xf>
    <xf numFmtId="0" fontId="10" fillId="13" borderId="0" xfId="3" quotePrefix="1" applyFill="1"/>
    <xf numFmtId="0" fontId="4" fillId="13" borderId="0" xfId="0" applyFont="1" applyFill="1"/>
    <xf numFmtId="167" fontId="0" fillId="13" borderId="52" xfId="4" applyNumberFormat="1" applyFont="1" applyFill="1" applyBorder="1"/>
    <xf numFmtId="167" fontId="0" fillId="13" borderId="38" xfId="4" applyNumberFormat="1" applyFont="1" applyFill="1" applyBorder="1"/>
    <xf numFmtId="166" fontId="0" fillId="13" borderId="13" xfId="1" applyNumberFormat="1" applyFont="1" applyFill="1" applyBorder="1"/>
    <xf numFmtId="167" fontId="0" fillId="13" borderId="13" xfId="4" applyNumberFormat="1" applyFont="1" applyFill="1" applyBorder="1"/>
    <xf numFmtId="0" fontId="0" fillId="12" borderId="0" xfId="0" applyFill="1" applyAlignment="1">
      <alignment horizontal="left"/>
    </xf>
    <xf numFmtId="0" fontId="0" fillId="11" borderId="0" xfId="0" applyFill="1"/>
    <xf numFmtId="0" fontId="0" fillId="11" borderId="0" xfId="0" applyFill="1" applyAlignment="1">
      <alignment horizontal="left"/>
    </xf>
    <xf numFmtId="0" fontId="29" fillId="13" borderId="0" xfId="3" applyFont="1" applyFill="1" applyProtection="1">
      <protection locked="0"/>
    </xf>
    <xf numFmtId="0" fontId="0" fillId="13" borderId="0" xfId="0" applyFill="1" applyProtection="1">
      <protection locked="0"/>
    </xf>
    <xf numFmtId="0" fontId="0" fillId="13" borderId="14" xfId="0" applyFill="1" applyBorder="1"/>
    <xf numFmtId="0" fontId="0" fillId="13" borderId="21" xfId="0" applyFill="1" applyBorder="1"/>
    <xf numFmtId="0" fontId="0" fillId="11" borderId="54" xfId="0" applyFill="1" applyBorder="1"/>
    <xf numFmtId="9" fontId="0" fillId="11" borderId="0" xfId="2" applyFont="1" applyFill="1"/>
    <xf numFmtId="165" fontId="12" fillId="5" borderId="56" xfId="1" applyFont="1" applyFill="1" applyBorder="1" applyAlignment="1">
      <alignment horizontal="center" textRotation="90" wrapText="1"/>
    </xf>
    <xf numFmtId="165" fontId="0" fillId="11" borderId="0" xfId="1" applyFont="1" applyFill="1"/>
    <xf numFmtId="165" fontId="0" fillId="2" borderId="0" xfId="1" applyFont="1" applyFill="1"/>
    <xf numFmtId="166" fontId="0" fillId="11" borderId="0" xfId="1" applyNumberFormat="1" applyFont="1" applyFill="1"/>
    <xf numFmtId="0" fontId="10" fillId="11" borderId="0" xfId="3" applyFill="1" applyProtection="1">
      <protection locked="0"/>
    </xf>
    <xf numFmtId="166" fontId="0" fillId="11" borderId="0" xfId="0" applyNumberFormat="1" applyFill="1"/>
    <xf numFmtId="168" fontId="0" fillId="11" borderId="0" xfId="0" applyNumberFormat="1" applyFill="1"/>
    <xf numFmtId="0" fontId="6" fillId="11" borderId="0" xfId="0" applyFont="1" applyFill="1"/>
    <xf numFmtId="0" fontId="4" fillId="11" borderId="0" xfId="0" applyFont="1" applyFill="1"/>
    <xf numFmtId="166" fontId="0" fillId="11" borderId="0" xfId="1" applyNumberFormat="1" applyFont="1" applyFill="1" applyProtection="1"/>
    <xf numFmtId="165" fontId="3" fillId="4" borderId="26" xfId="1" applyFont="1" applyFill="1" applyBorder="1" applyAlignment="1" applyProtection="1">
      <alignment horizontal="center" textRotation="90"/>
    </xf>
    <xf numFmtId="165" fontId="3" fillId="4" borderId="14" xfId="1" applyFont="1" applyFill="1" applyBorder="1" applyAlignment="1">
      <alignment horizontal="center" textRotation="90"/>
    </xf>
    <xf numFmtId="0" fontId="0" fillId="11" borderId="1" xfId="0" applyFill="1" applyBorder="1"/>
    <xf numFmtId="167" fontId="0" fillId="2" borderId="0" xfId="4" applyNumberFormat="1" applyFont="1" applyFill="1"/>
    <xf numFmtId="167" fontId="0" fillId="11" borderId="0" xfId="4" applyNumberFormat="1" applyFont="1" applyFill="1"/>
    <xf numFmtId="167" fontId="0" fillId="6" borderId="28" xfId="4" applyNumberFormat="1" applyFont="1" applyFill="1" applyBorder="1" applyProtection="1">
      <protection locked="0"/>
    </xf>
    <xf numFmtId="0" fontId="0" fillId="6" borderId="28" xfId="0" applyFill="1" applyBorder="1" applyProtection="1">
      <protection locked="0"/>
    </xf>
    <xf numFmtId="10" fontId="0" fillId="2" borderId="0" xfId="2" applyNumberFormat="1" applyFont="1" applyFill="1"/>
    <xf numFmtId="10" fontId="0" fillId="11" borderId="0" xfId="2" applyNumberFormat="1" applyFont="1" applyFill="1"/>
    <xf numFmtId="9" fontId="17" fillId="6" borderId="39" xfId="2" applyFont="1" applyFill="1" applyBorder="1"/>
    <xf numFmtId="9" fontId="17" fillId="6" borderId="51" xfId="2" applyFont="1" applyFill="1" applyBorder="1"/>
    <xf numFmtId="170" fontId="0" fillId="6" borderId="65" xfId="4" applyNumberFormat="1" applyFont="1" applyFill="1" applyBorder="1" applyProtection="1">
      <protection locked="0"/>
    </xf>
    <xf numFmtId="167" fontId="0" fillId="6" borderId="65" xfId="4" applyNumberFormat="1" applyFont="1" applyFill="1" applyBorder="1" applyProtection="1">
      <protection locked="0"/>
    </xf>
    <xf numFmtId="167" fontId="0" fillId="6" borderId="62" xfId="4" applyNumberFormat="1" applyFont="1" applyFill="1" applyBorder="1" applyProtection="1">
      <protection locked="0"/>
    </xf>
    <xf numFmtId="167" fontId="0" fillId="6" borderId="35" xfId="4" applyNumberFormat="1" applyFont="1" applyFill="1" applyBorder="1" applyProtection="1">
      <protection locked="0"/>
    </xf>
    <xf numFmtId="167" fontId="0" fillId="13" borderId="60" xfId="4" applyNumberFormat="1" applyFont="1" applyFill="1" applyBorder="1"/>
    <xf numFmtId="167" fontId="0" fillId="13" borderId="39" xfId="4" applyNumberFormat="1" applyFont="1" applyFill="1" applyBorder="1"/>
    <xf numFmtId="0" fontId="4" fillId="16" borderId="14" xfId="0" applyFont="1" applyFill="1" applyBorder="1"/>
    <xf numFmtId="0" fontId="4" fillId="16" borderId="21" xfId="0" applyFont="1" applyFill="1" applyBorder="1"/>
    <xf numFmtId="167" fontId="4" fillId="16" borderId="21" xfId="4" applyNumberFormat="1" applyFont="1" applyFill="1" applyBorder="1"/>
    <xf numFmtId="10" fontId="4" fillId="16" borderId="21" xfId="2" applyNumberFormat="1" applyFont="1" applyFill="1" applyBorder="1"/>
    <xf numFmtId="166" fontId="4" fillId="16" borderId="21" xfId="1" applyNumberFormat="1" applyFont="1" applyFill="1" applyBorder="1"/>
    <xf numFmtId="2" fontId="0" fillId="11" borderId="0" xfId="0" applyNumberFormat="1" applyFill="1"/>
    <xf numFmtId="2" fontId="4" fillId="16" borderId="21" xfId="0" applyNumberFormat="1" applyFont="1" applyFill="1" applyBorder="1"/>
    <xf numFmtId="0" fontId="0" fillId="6" borderId="30" xfId="0" applyFill="1" applyBorder="1" applyProtection="1">
      <protection locked="0"/>
    </xf>
    <xf numFmtId="166" fontId="2" fillId="0" borderId="23" xfId="1" applyNumberFormat="1" applyFont="1" applyFill="1" applyBorder="1" applyAlignment="1" applyProtection="1">
      <alignment horizontal="center"/>
      <protection locked="0"/>
    </xf>
    <xf numFmtId="166" fontId="0" fillId="0" borderId="23" xfId="2" applyNumberFormat="1" applyFont="1" applyFill="1" applyBorder="1" applyProtection="1">
      <protection locked="0"/>
    </xf>
    <xf numFmtId="166" fontId="2" fillId="0" borderId="43" xfId="1" applyNumberFormat="1" applyFont="1" applyFill="1" applyBorder="1" applyProtection="1">
      <protection locked="0"/>
    </xf>
    <xf numFmtId="166" fontId="2" fillId="0" borderId="44" xfId="1" applyNumberFormat="1" applyFont="1" applyFill="1" applyBorder="1" applyProtection="1">
      <protection locked="0"/>
    </xf>
    <xf numFmtId="166" fontId="2" fillId="0" borderId="49" xfId="1" applyNumberFormat="1" applyFont="1" applyFill="1" applyBorder="1" applyProtection="1">
      <protection locked="0"/>
    </xf>
    <xf numFmtId="166" fontId="2" fillId="0" borderId="45" xfId="1" applyNumberFormat="1" applyFont="1" applyFill="1" applyBorder="1" applyProtection="1">
      <protection locked="0"/>
    </xf>
    <xf numFmtId="166" fontId="2" fillId="0" borderId="23" xfId="2" applyNumberFormat="1" applyFont="1" applyFill="1" applyBorder="1" applyProtection="1">
      <protection locked="0"/>
    </xf>
    <xf numFmtId="166" fontId="2" fillId="0" borderId="24" xfId="1" applyNumberFormat="1" applyFont="1" applyFill="1" applyBorder="1" applyAlignment="1" applyProtection="1">
      <alignment horizontal="center"/>
      <protection locked="0"/>
    </xf>
    <xf numFmtId="166" fontId="2" fillId="0" borderId="24" xfId="2" applyNumberFormat="1" applyFont="1" applyFill="1" applyBorder="1" applyProtection="1">
      <protection locked="0"/>
    </xf>
    <xf numFmtId="166" fontId="2" fillId="0" borderId="46" xfId="1" applyNumberFormat="1" applyFont="1" applyFill="1" applyBorder="1" applyProtection="1">
      <protection locked="0"/>
    </xf>
    <xf numFmtId="166" fontId="2" fillId="0" borderId="47" xfId="1" applyNumberFormat="1" applyFont="1" applyFill="1" applyBorder="1" applyProtection="1">
      <protection locked="0"/>
    </xf>
    <xf numFmtId="166" fontId="2" fillId="0" borderId="50" xfId="1" applyNumberFormat="1" applyFont="1" applyFill="1" applyBorder="1" applyProtection="1">
      <protection locked="0"/>
    </xf>
    <xf numFmtId="166" fontId="2" fillId="0" borderId="48" xfId="1" applyNumberFormat="1" applyFont="1" applyFill="1" applyBorder="1" applyProtection="1">
      <protection locked="0"/>
    </xf>
    <xf numFmtId="166" fontId="2" fillId="0" borderId="20" xfId="1" applyNumberFormat="1" applyFont="1" applyFill="1" applyBorder="1" applyAlignment="1" applyProtection="1">
      <alignment horizontal="center"/>
    </xf>
    <xf numFmtId="166" fontId="0" fillId="6" borderId="38" xfId="1" applyNumberFormat="1" applyFont="1" applyFill="1" applyBorder="1" applyAlignment="1">
      <alignment vertical="center"/>
    </xf>
    <xf numFmtId="166" fontId="0" fillId="6" borderId="33" xfId="1" applyNumberFormat="1" applyFont="1" applyFill="1" applyBorder="1" applyAlignment="1">
      <alignment vertical="center"/>
    </xf>
    <xf numFmtId="166" fontId="2" fillId="6" borderId="20" xfId="1" applyNumberFormat="1" applyFont="1" applyFill="1" applyBorder="1" applyAlignment="1" applyProtection="1">
      <alignment horizontal="center"/>
    </xf>
    <xf numFmtId="166" fontId="0" fillId="0" borderId="38" xfId="1" applyNumberFormat="1" applyFont="1" applyFill="1" applyBorder="1" applyProtection="1">
      <protection locked="0"/>
    </xf>
    <xf numFmtId="166" fontId="0" fillId="0" borderId="33" xfId="1" applyNumberFormat="1" applyFont="1" applyFill="1" applyBorder="1" applyProtection="1">
      <protection locked="0"/>
    </xf>
    <xf numFmtId="166" fontId="2" fillId="0" borderId="58" xfId="2" applyNumberFormat="1" applyFont="1" applyFill="1" applyBorder="1" applyProtection="1">
      <protection locked="0"/>
    </xf>
    <xf numFmtId="166" fontId="2" fillId="0" borderId="59" xfId="2" applyNumberFormat="1" applyFont="1" applyFill="1" applyBorder="1" applyProtection="1">
      <protection locked="0"/>
    </xf>
    <xf numFmtId="166" fontId="2" fillId="0" borderId="44" xfId="2" applyNumberFormat="1" applyFont="1" applyFill="1" applyBorder="1" applyProtection="1">
      <protection locked="0"/>
    </xf>
    <xf numFmtId="166" fontId="2" fillId="0" borderId="43" xfId="2" applyNumberFormat="1" applyFont="1" applyFill="1" applyBorder="1" applyProtection="1">
      <protection locked="0"/>
    </xf>
    <xf numFmtId="9" fontId="0" fillId="11" borderId="0" xfId="0" applyNumberFormat="1" applyFill="1"/>
    <xf numFmtId="0" fontId="0" fillId="6" borderId="29" xfId="0" applyFill="1" applyBorder="1" applyProtection="1">
      <protection locked="0"/>
    </xf>
    <xf numFmtId="167" fontId="3" fillId="4" borderId="34" xfId="4" applyNumberFormat="1" applyFont="1" applyFill="1" applyBorder="1" applyAlignment="1" applyProtection="1">
      <alignment horizontal="center" textRotation="90"/>
    </xf>
    <xf numFmtId="167" fontId="3" fillId="4" borderId="21" xfId="4" applyNumberFormat="1" applyFont="1" applyFill="1" applyBorder="1" applyAlignment="1">
      <alignment horizontal="center" textRotation="90"/>
    </xf>
    <xf numFmtId="10" fontId="12" fillId="5" borderId="20" xfId="2" applyNumberFormat="1" applyFont="1" applyFill="1" applyBorder="1" applyAlignment="1">
      <alignment horizontal="center" textRotation="90" wrapText="1"/>
    </xf>
    <xf numFmtId="10" fontId="12" fillId="5" borderId="20" xfId="0" applyNumberFormat="1" applyFont="1" applyFill="1" applyBorder="1" applyAlignment="1">
      <alignment horizontal="center" textRotation="90" wrapText="1"/>
    </xf>
    <xf numFmtId="10" fontId="0" fillId="11" borderId="0" xfId="0" applyNumberFormat="1" applyFill="1"/>
    <xf numFmtId="167" fontId="0" fillId="6" borderId="77" xfId="4" applyNumberFormat="1" applyFont="1" applyFill="1" applyBorder="1" applyProtection="1">
      <protection locked="0"/>
    </xf>
    <xf numFmtId="170" fontId="0" fillId="0" borderId="38" xfId="2" applyNumberFormat="1" applyFont="1" applyFill="1" applyBorder="1" applyProtection="1">
      <protection locked="0"/>
    </xf>
    <xf numFmtId="0" fontId="4" fillId="16" borderId="69" xfId="0" applyFont="1" applyFill="1" applyBorder="1" applyAlignment="1">
      <alignment horizontal="center"/>
    </xf>
    <xf numFmtId="10" fontId="0" fillId="11" borderId="0" xfId="2" applyNumberFormat="1" applyFont="1" applyFill="1" applyAlignment="1">
      <alignment horizontal="left"/>
    </xf>
    <xf numFmtId="10" fontId="0" fillId="11" borderId="0" xfId="0" applyNumberFormat="1" applyFill="1" applyAlignment="1">
      <alignment horizontal="left"/>
    </xf>
    <xf numFmtId="9" fontId="0" fillId="11" borderId="0" xfId="2" applyFont="1" applyFill="1" applyAlignment="1">
      <alignment horizontal="left"/>
    </xf>
    <xf numFmtId="165" fontId="0" fillId="11" borderId="0" xfId="1" applyFont="1" applyFill="1" applyAlignment="1">
      <alignment horizontal="left"/>
    </xf>
    <xf numFmtId="167" fontId="0" fillId="11" borderId="0" xfId="4" applyNumberFormat="1" applyFont="1" applyFill="1" applyAlignment="1">
      <alignment horizontal="left"/>
    </xf>
    <xf numFmtId="0" fontId="14" fillId="11" borderId="0" xfId="0" applyFont="1" applyFill="1" applyAlignment="1">
      <alignment horizontal="left"/>
    </xf>
    <xf numFmtId="0" fontId="0" fillId="11" borderId="68" xfId="0" applyFill="1" applyBorder="1"/>
    <xf numFmtId="0" fontId="0" fillId="6" borderId="31" xfId="0" applyFill="1" applyBorder="1" applyProtection="1">
      <protection locked="0"/>
    </xf>
    <xf numFmtId="0" fontId="0" fillId="3" borderId="76" xfId="0" applyFill="1" applyBorder="1" applyProtection="1">
      <protection locked="0"/>
    </xf>
    <xf numFmtId="0" fontId="0" fillId="11" borderId="0" xfId="0" applyFill="1" applyProtection="1">
      <protection locked="0"/>
    </xf>
    <xf numFmtId="166" fontId="0" fillId="11" borderId="0" xfId="1" applyNumberFormat="1" applyFont="1" applyFill="1" applyBorder="1" applyProtection="1">
      <protection locked="0"/>
    </xf>
    <xf numFmtId="167" fontId="0" fillId="11" borderId="0" xfId="4" applyNumberFormat="1" applyFont="1" applyFill="1" applyBorder="1" applyProtection="1">
      <protection locked="0"/>
    </xf>
    <xf numFmtId="170" fontId="0" fillId="11" borderId="0" xfId="4" applyNumberFormat="1" applyFont="1" applyFill="1" applyBorder="1" applyProtection="1">
      <protection locked="0"/>
    </xf>
    <xf numFmtId="10" fontId="0" fillId="11" borderId="0" xfId="2" applyNumberFormat="1" applyFont="1" applyFill="1" applyBorder="1" applyProtection="1">
      <protection locked="0"/>
    </xf>
    <xf numFmtId="167" fontId="0" fillId="11" borderId="0" xfId="2" applyNumberFormat="1" applyFont="1" applyFill="1" applyBorder="1" applyProtection="1">
      <protection locked="0"/>
    </xf>
    <xf numFmtId="166" fontId="0" fillId="11" borderId="0" xfId="1" applyNumberFormat="1" applyFont="1" applyFill="1" applyBorder="1"/>
    <xf numFmtId="167" fontId="0" fillId="11" borderId="0" xfId="4" applyNumberFormat="1" applyFont="1" applyFill="1" applyBorder="1"/>
    <xf numFmtId="10" fontId="0" fillId="11" borderId="0" xfId="2" applyNumberFormat="1" applyFont="1" applyFill="1" applyBorder="1"/>
    <xf numFmtId="167" fontId="0" fillId="11" borderId="13" xfId="4" applyNumberFormat="1" applyFont="1" applyFill="1" applyBorder="1" applyProtection="1">
      <protection locked="0"/>
    </xf>
    <xf numFmtId="0" fontId="4" fillId="0" borderId="13" xfId="0" applyFont="1" applyBorder="1"/>
    <xf numFmtId="166" fontId="2" fillId="0" borderId="46" xfId="2" applyNumberFormat="1" applyFont="1" applyFill="1" applyBorder="1" applyProtection="1">
      <protection locked="0"/>
    </xf>
    <xf numFmtId="166" fontId="2" fillId="0" borderId="47" xfId="2" applyNumberFormat="1" applyFont="1" applyFill="1" applyBorder="1" applyProtection="1">
      <protection locked="0"/>
    </xf>
    <xf numFmtId="0" fontId="4" fillId="13" borderId="14" xfId="0" applyFont="1" applyFill="1" applyBorder="1" applyAlignment="1">
      <alignment horizontal="center" vertical="center" wrapText="1"/>
    </xf>
    <xf numFmtId="0" fontId="10" fillId="11" borderId="0" xfId="3" applyFill="1" applyAlignment="1" applyProtection="1">
      <alignment horizontal="left" vertical="center"/>
      <protection locked="0"/>
    </xf>
    <xf numFmtId="0" fontId="0" fillId="12" borderId="1" xfId="0" applyFill="1" applyBorder="1" applyAlignment="1">
      <alignment vertical="center"/>
    </xf>
    <xf numFmtId="0" fontId="0" fillId="11" borderId="0" xfId="0" applyFill="1" applyAlignment="1">
      <alignment vertical="center"/>
    </xf>
    <xf numFmtId="0" fontId="0" fillId="11" borderId="54" xfId="0" applyFill="1" applyBorder="1" applyAlignment="1">
      <alignment vertical="center"/>
    </xf>
    <xf numFmtId="0" fontId="0" fillId="2" borderId="0" xfId="0" applyFill="1" applyAlignment="1">
      <alignment vertical="center"/>
    </xf>
    <xf numFmtId="0" fontId="4" fillId="7" borderId="14" xfId="0" applyFont="1" applyFill="1" applyBorder="1" applyAlignment="1">
      <alignment vertical="center"/>
    </xf>
    <xf numFmtId="0" fontId="4" fillId="7" borderId="21" xfId="0" applyFont="1" applyFill="1" applyBorder="1" applyAlignment="1">
      <alignment vertical="center"/>
    </xf>
    <xf numFmtId="165" fontId="4" fillId="7" borderId="21" xfId="1" applyFont="1" applyFill="1" applyBorder="1" applyAlignment="1">
      <alignment vertical="center"/>
    </xf>
    <xf numFmtId="167" fontId="4" fillId="7" borderId="21" xfId="4" applyNumberFormat="1" applyFont="1" applyFill="1" applyBorder="1" applyAlignment="1">
      <alignment vertical="center"/>
    </xf>
    <xf numFmtId="167" fontId="4" fillId="7" borderId="15" xfId="4" applyNumberFormat="1" applyFont="1" applyFill="1" applyBorder="1" applyAlignment="1">
      <alignment vertical="center"/>
    </xf>
    <xf numFmtId="10" fontId="4" fillId="5" borderId="21" xfId="2" applyNumberFormat="1" applyFont="1" applyFill="1" applyBorder="1" applyAlignment="1">
      <alignment vertical="center"/>
    </xf>
    <xf numFmtId="10" fontId="4" fillId="5" borderId="21" xfId="0" applyNumberFormat="1" applyFont="1" applyFill="1" applyBorder="1" applyAlignment="1">
      <alignment vertical="center"/>
    </xf>
    <xf numFmtId="9" fontId="0" fillId="5" borderId="15" xfId="2" applyFont="1" applyFill="1" applyBorder="1" applyAlignment="1">
      <alignment vertical="center"/>
    </xf>
    <xf numFmtId="165" fontId="4" fillId="5" borderId="13" xfId="1" applyFont="1" applyFill="1" applyBorder="1" applyAlignment="1">
      <alignment vertical="center"/>
    </xf>
    <xf numFmtId="165" fontId="4" fillId="5" borderId="21" xfId="1" applyFont="1" applyFill="1" applyBorder="1" applyAlignment="1">
      <alignment vertical="center"/>
    </xf>
    <xf numFmtId="0" fontId="4" fillId="5" borderId="15" xfId="0" applyFont="1" applyFill="1" applyBorder="1" applyAlignment="1">
      <alignment vertical="center"/>
    </xf>
    <xf numFmtId="17" fontId="0" fillId="13" borderId="1" xfId="0" applyNumberFormat="1" applyFill="1" applyBorder="1"/>
    <xf numFmtId="0" fontId="0" fillId="3" borderId="0" xfId="0" applyFill="1"/>
    <xf numFmtId="10" fontId="12" fillId="5" borderId="56" xfId="2" applyNumberFormat="1" applyFont="1" applyFill="1" applyBorder="1" applyAlignment="1">
      <alignment horizontal="center" textRotation="90" wrapText="1"/>
    </xf>
    <xf numFmtId="165" fontId="12" fillId="5" borderId="20" xfId="1" applyFont="1" applyFill="1" applyBorder="1" applyAlignment="1">
      <alignment horizontal="center" textRotation="90" wrapText="1"/>
    </xf>
    <xf numFmtId="0" fontId="12" fillId="5" borderId="20" xfId="0" applyFont="1" applyFill="1" applyBorder="1" applyAlignment="1">
      <alignment horizontal="center" textRotation="90" wrapText="1"/>
    </xf>
    <xf numFmtId="9" fontId="12" fillId="5" borderId="20" xfId="2" applyFont="1" applyFill="1" applyBorder="1" applyAlignment="1">
      <alignment horizontal="center" textRotation="90" wrapText="1"/>
    </xf>
    <xf numFmtId="0" fontId="5" fillId="4" borderId="61" xfId="0" applyFont="1" applyFill="1" applyBorder="1" applyAlignment="1">
      <alignment horizontal="center"/>
    </xf>
    <xf numFmtId="0" fontId="5" fillId="4" borderId="79" xfId="0" applyFont="1" applyFill="1" applyBorder="1" applyAlignment="1">
      <alignment horizontal="center"/>
    </xf>
    <xf numFmtId="0" fontId="12" fillId="4" borderId="67" xfId="0" applyFont="1" applyFill="1" applyBorder="1" applyAlignment="1">
      <alignment horizontal="center" textRotation="90"/>
    </xf>
    <xf numFmtId="0" fontId="12" fillId="4" borderId="53" xfId="0" applyFont="1" applyFill="1" applyBorder="1" applyAlignment="1">
      <alignment horizontal="center" textRotation="90"/>
    </xf>
    <xf numFmtId="0" fontId="12" fillId="4" borderId="53" xfId="0" applyFont="1" applyFill="1" applyBorder="1" applyAlignment="1">
      <alignment horizontal="center" textRotation="90" wrapText="1"/>
    </xf>
    <xf numFmtId="165" fontId="12" fillId="4" borderId="53" xfId="1" applyFont="1" applyFill="1" applyBorder="1" applyAlignment="1">
      <alignment horizontal="center" textRotation="90"/>
    </xf>
    <xf numFmtId="0" fontId="12" fillId="4" borderId="71" xfId="0" applyFont="1" applyFill="1" applyBorder="1" applyAlignment="1">
      <alignment horizontal="center" textRotation="90"/>
    </xf>
    <xf numFmtId="165" fontId="12" fillId="4" borderId="71" xfId="1" applyFont="1" applyFill="1" applyBorder="1" applyAlignment="1" applyProtection="1">
      <alignment horizontal="center" textRotation="90"/>
    </xf>
    <xf numFmtId="167" fontId="12" fillId="4" borderId="75" xfId="4" applyNumberFormat="1" applyFont="1" applyFill="1" applyBorder="1" applyAlignment="1" applyProtection="1">
      <alignment horizontal="center" textRotation="90"/>
    </xf>
    <xf numFmtId="0" fontId="0" fillId="3" borderId="32" xfId="0" applyFill="1" applyBorder="1" applyProtection="1">
      <protection locked="0"/>
    </xf>
    <xf numFmtId="167" fontId="0" fillId="3" borderId="64" xfId="4" applyNumberFormat="1" applyFont="1" applyFill="1" applyBorder="1" applyProtection="1">
      <protection locked="0"/>
    </xf>
    <xf numFmtId="169" fontId="0" fillId="3" borderId="38" xfId="0" applyNumberFormat="1" applyFill="1" applyBorder="1" applyProtection="1">
      <protection locked="0"/>
    </xf>
    <xf numFmtId="0" fontId="0" fillId="3" borderId="28" xfId="0" applyFill="1" applyBorder="1" applyProtection="1">
      <protection locked="0"/>
    </xf>
    <xf numFmtId="166" fontId="0" fillId="3" borderId="28" xfId="1" applyNumberFormat="1" applyFont="1" applyFill="1" applyBorder="1" applyProtection="1">
      <protection locked="0"/>
    </xf>
    <xf numFmtId="167" fontId="0" fillId="6" borderId="23" xfId="4" applyNumberFormat="1" applyFont="1" applyFill="1" applyBorder="1" applyProtection="1">
      <protection locked="0"/>
    </xf>
    <xf numFmtId="167" fontId="0" fillId="3" borderId="28" xfId="4" applyNumberFormat="1" applyFont="1" applyFill="1" applyBorder="1" applyProtection="1">
      <protection locked="0"/>
    </xf>
    <xf numFmtId="167" fontId="0" fillId="6" borderId="76" xfId="4" applyNumberFormat="1" applyFont="1" applyFill="1" applyBorder="1" applyProtection="1">
      <protection locked="0"/>
    </xf>
    <xf numFmtId="0" fontId="10" fillId="3" borderId="0" xfId="3" applyFill="1" applyProtection="1">
      <protection locked="0"/>
    </xf>
    <xf numFmtId="0" fontId="18" fillId="3" borderId="0" xfId="0" applyFont="1" applyFill="1" applyAlignment="1">
      <alignment horizontal="center"/>
    </xf>
    <xf numFmtId="0" fontId="0" fillId="3" borderId="1" xfId="0" applyFill="1" applyBorder="1"/>
    <xf numFmtId="0" fontId="4" fillId="3" borderId="13" xfId="0" applyFont="1" applyFill="1" applyBorder="1" applyAlignment="1">
      <alignment horizontal="center"/>
    </xf>
    <xf numFmtId="0" fontId="0" fillId="3" borderId="13" xfId="0" applyFill="1" applyBorder="1" applyProtection="1">
      <protection locked="0"/>
    </xf>
    <xf numFmtId="0" fontId="19" fillId="3" borderId="1" xfId="0" applyFont="1" applyFill="1" applyBorder="1" applyProtection="1">
      <protection locked="0"/>
    </xf>
    <xf numFmtId="0" fontId="27" fillId="3" borderId="0" xfId="0" applyFont="1" applyFill="1"/>
    <xf numFmtId="0" fontId="19" fillId="3" borderId="0" xfId="0" applyFont="1" applyFill="1"/>
    <xf numFmtId="0" fontId="4" fillId="3" borderId="0" xfId="0" applyFont="1" applyFill="1"/>
    <xf numFmtId="10" fontId="0" fillId="3" borderId="13" xfId="2" applyNumberFormat="1" applyFont="1" applyFill="1" applyBorder="1" applyProtection="1">
      <protection locked="0"/>
    </xf>
    <xf numFmtId="0" fontId="0" fillId="3" borderId="6" xfId="0" applyFill="1" applyBorder="1"/>
    <xf numFmtId="0" fontId="0" fillId="3" borderId="8" xfId="0" applyFill="1" applyBorder="1"/>
    <xf numFmtId="10" fontId="0" fillId="3" borderId="9" xfId="2" applyNumberFormat="1" applyFont="1" applyFill="1" applyBorder="1"/>
    <xf numFmtId="0" fontId="0" fillId="3" borderId="10" xfId="0" applyFill="1" applyBorder="1"/>
    <xf numFmtId="0" fontId="0" fillId="3" borderId="11" xfId="0" applyFill="1" applyBorder="1"/>
    <xf numFmtId="10" fontId="0" fillId="3" borderId="13" xfId="2" applyNumberFormat="1" applyFont="1" applyFill="1" applyBorder="1"/>
    <xf numFmtId="0" fontId="0" fillId="3" borderId="4" xfId="0" applyFill="1" applyBorder="1"/>
    <xf numFmtId="10" fontId="0" fillId="3" borderId="16" xfId="2" applyNumberFormat="1" applyFont="1" applyFill="1" applyBorder="1" applyProtection="1">
      <protection locked="0"/>
    </xf>
    <xf numFmtId="0" fontId="0" fillId="3" borderId="0" xfId="0" applyFill="1" applyAlignment="1">
      <alignment vertical="center" textRotation="90"/>
    </xf>
    <xf numFmtId="0" fontId="0" fillId="3" borderId="1" xfId="0" applyFill="1" applyBorder="1" applyAlignment="1">
      <alignment horizontal="center"/>
    </xf>
    <xf numFmtId="165" fontId="0" fillId="3" borderId="13" xfId="1" applyFont="1" applyFill="1" applyBorder="1" applyProtection="1">
      <protection locked="0"/>
    </xf>
    <xf numFmtId="165" fontId="0" fillId="3" borderId="13" xfId="7" applyFont="1" applyFill="1" applyBorder="1" applyProtection="1">
      <protection locked="0"/>
    </xf>
    <xf numFmtId="165" fontId="0" fillId="3" borderId="0" xfId="1" applyFont="1" applyFill="1" applyBorder="1" applyProtection="1">
      <protection locked="0"/>
    </xf>
    <xf numFmtId="10" fontId="0" fillId="3" borderId="13" xfId="2" applyNumberFormat="1" applyFont="1" applyFill="1" applyBorder="1" applyProtection="1"/>
    <xf numFmtId="0" fontId="19" fillId="3" borderId="1" xfId="0" applyFont="1" applyFill="1" applyBorder="1"/>
    <xf numFmtId="0" fontId="4" fillId="3" borderId="0" xfId="0" applyFont="1" applyFill="1" applyAlignment="1">
      <alignment horizontal="center"/>
    </xf>
    <xf numFmtId="10" fontId="0" fillId="3" borderId="0" xfId="2" applyNumberFormat="1" applyFont="1" applyFill="1" applyBorder="1" applyProtection="1">
      <protection locked="0"/>
    </xf>
    <xf numFmtId="0" fontId="19" fillId="3" borderId="0" xfId="0" applyFont="1" applyFill="1" applyProtection="1">
      <protection locked="0"/>
    </xf>
    <xf numFmtId="1" fontId="0" fillId="3" borderId="76" xfId="0" applyNumberFormat="1" applyFill="1" applyBorder="1" applyProtection="1">
      <protection locked="0"/>
    </xf>
    <xf numFmtId="167" fontId="0" fillId="6" borderId="35" xfId="4" applyNumberFormat="1" applyFont="1" applyFill="1" applyBorder="1" applyProtection="1"/>
    <xf numFmtId="10" fontId="17" fillId="6" borderId="43" xfId="2" quotePrefix="1" applyNumberFormat="1" applyFont="1" applyFill="1" applyBorder="1"/>
    <xf numFmtId="10" fontId="17" fillId="6" borderId="44" xfId="2" quotePrefix="1" applyNumberFormat="1" applyFont="1" applyFill="1" applyBorder="1"/>
    <xf numFmtId="0" fontId="34" fillId="11" borderId="0" xfId="0" applyFont="1" applyFill="1"/>
    <xf numFmtId="0" fontId="12" fillId="16" borderId="67" xfId="0" applyFont="1" applyFill="1" applyBorder="1" applyAlignment="1">
      <alignment horizontal="center" textRotation="90"/>
    </xf>
    <xf numFmtId="0" fontId="12" fillId="16" borderId="53" xfId="0" applyFont="1" applyFill="1" applyBorder="1" applyAlignment="1">
      <alignment horizontal="center" textRotation="90"/>
    </xf>
    <xf numFmtId="0" fontId="12" fillId="16" borderId="70" xfId="0" applyFont="1" applyFill="1" applyBorder="1" applyAlignment="1">
      <alignment horizontal="center" textRotation="90" wrapText="1"/>
    </xf>
    <xf numFmtId="166" fontId="12" fillId="16" borderId="71" xfId="1" applyNumberFormat="1" applyFont="1" applyFill="1" applyBorder="1" applyAlignment="1" applyProtection="1">
      <alignment horizontal="center" textRotation="90"/>
    </xf>
    <xf numFmtId="0" fontId="12" fillId="16" borderId="75" xfId="0" applyFont="1" applyFill="1" applyBorder="1" applyAlignment="1">
      <alignment horizontal="center" textRotation="90"/>
    </xf>
    <xf numFmtId="0" fontId="12" fillId="16" borderId="20" xfId="0" applyFont="1" applyFill="1" applyBorder="1" applyAlignment="1">
      <alignment horizontal="center" textRotation="90" wrapText="1"/>
    </xf>
    <xf numFmtId="0" fontId="12" fillId="16" borderId="53" xfId="0" applyFont="1" applyFill="1" applyBorder="1" applyAlignment="1">
      <alignment horizontal="center" textRotation="90" wrapText="1"/>
    </xf>
    <xf numFmtId="0" fontId="12" fillId="16" borderId="71" xfId="0" applyFont="1" applyFill="1" applyBorder="1" applyAlignment="1">
      <alignment horizontal="center" textRotation="90" wrapText="1"/>
    </xf>
    <xf numFmtId="167" fontId="12" fillId="16" borderId="72" xfId="4" applyNumberFormat="1" applyFont="1" applyFill="1" applyBorder="1" applyAlignment="1">
      <alignment horizontal="center" textRotation="90" wrapText="1"/>
    </xf>
    <xf numFmtId="0" fontId="12" fillId="16" borderId="72" xfId="0" applyFont="1" applyFill="1" applyBorder="1" applyAlignment="1">
      <alignment horizontal="center" textRotation="90" wrapText="1"/>
    </xf>
    <xf numFmtId="10" fontId="12" fillId="16" borderId="53" xfId="2" applyNumberFormat="1" applyFont="1" applyFill="1" applyBorder="1" applyAlignment="1">
      <alignment horizontal="center" textRotation="90"/>
    </xf>
    <xf numFmtId="10" fontId="12" fillId="16" borderId="53" xfId="2" applyNumberFormat="1" applyFont="1" applyFill="1" applyBorder="1" applyAlignment="1">
      <alignment horizontal="center" textRotation="90" wrapText="1"/>
    </xf>
    <xf numFmtId="167" fontId="12" fillId="16" borderId="53" xfId="4" applyNumberFormat="1" applyFont="1" applyFill="1" applyBorder="1" applyAlignment="1">
      <alignment horizontal="center" textRotation="90" wrapText="1"/>
    </xf>
    <xf numFmtId="167" fontId="12" fillId="16" borderId="67" xfId="4" applyNumberFormat="1" applyFont="1" applyFill="1" applyBorder="1" applyAlignment="1">
      <alignment horizontal="center" textRotation="90" wrapText="1"/>
    </xf>
    <xf numFmtId="0" fontId="0" fillId="3" borderId="63" xfId="0" applyFill="1" applyBorder="1" applyProtection="1">
      <protection locked="0"/>
    </xf>
    <xf numFmtId="0" fontId="0" fillId="3" borderId="23" xfId="0" applyFill="1" applyBorder="1" applyProtection="1">
      <protection locked="0"/>
    </xf>
    <xf numFmtId="167" fontId="0" fillId="3" borderId="29" xfId="4" applyNumberFormat="1" applyFont="1" applyFill="1" applyBorder="1" applyProtection="1">
      <protection locked="0"/>
    </xf>
    <xf numFmtId="167" fontId="0" fillId="3" borderId="23" xfId="4" applyNumberFormat="1" applyFont="1" applyFill="1" applyBorder="1" applyProtection="1">
      <protection locked="0"/>
    </xf>
    <xf numFmtId="10" fontId="0" fillId="6" borderId="65" xfId="2" applyNumberFormat="1" applyFont="1" applyFill="1" applyBorder="1" applyProtection="1">
      <protection locked="0"/>
    </xf>
    <xf numFmtId="9" fontId="0" fillId="6" borderId="65" xfId="2" applyFont="1" applyFill="1" applyBorder="1" applyProtection="1">
      <protection locked="0"/>
    </xf>
    <xf numFmtId="9" fontId="0" fillId="11" borderId="0" xfId="2" applyFont="1" applyFill="1" applyBorder="1" applyProtection="1">
      <protection locked="0"/>
    </xf>
    <xf numFmtId="164" fontId="0" fillId="11" borderId="0" xfId="4" applyFont="1" applyFill="1"/>
    <xf numFmtId="0" fontId="12" fillId="7" borderId="70" xfId="0" applyFont="1" applyFill="1" applyBorder="1" applyAlignment="1">
      <alignment horizontal="center" textRotation="90" wrapText="1"/>
    </xf>
    <xf numFmtId="0" fontId="12" fillId="7" borderId="71" xfId="0" applyFont="1" applyFill="1" applyBorder="1" applyAlignment="1">
      <alignment horizontal="center" textRotation="90" wrapText="1"/>
    </xf>
    <xf numFmtId="167" fontId="0" fillId="11" borderId="20" xfId="4" applyNumberFormat="1" applyFont="1" applyFill="1" applyBorder="1"/>
    <xf numFmtId="0" fontId="0" fillId="3" borderId="22" xfId="0" applyFill="1" applyBorder="1" applyProtection="1">
      <protection locked="0"/>
    </xf>
    <xf numFmtId="0" fontId="0" fillId="3" borderId="80" xfId="0" applyFill="1" applyBorder="1" applyProtection="1">
      <protection locked="0"/>
    </xf>
    <xf numFmtId="167" fontId="0" fillId="3" borderId="22" xfId="4" applyNumberFormat="1" applyFont="1" applyFill="1" applyBorder="1" applyProtection="1">
      <protection locked="0"/>
    </xf>
    <xf numFmtId="166" fontId="0" fillId="3" borderId="80" xfId="1" applyNumberFormat="1" applyFont="1" applyFill="1" applyBorder="1" applyProtection="1">
      <protection locked="0"/>
    </xf>
    <xf numFmtId="169" fontId="0" fillId="3" borderId="39" xfId="0" applyNumberFormat="1" applyFill="1" applyBorder="1" applyProtection="1">
      <protection locked="0"/>
    </xf>
    <xf numFmtId="167" fontId="0" fillId="6" borderId="22" xfId="4" applyNumberFormat="1" applyFont="1" applyFill="1" applyBorder="1" applyProtection="1">
      <protection locked="0"/>
    </xf>
    <xf numFmtId="167" fontId="0" fillId="3" borderId="80" xfId="4" applyNumberFormat="1" applyFont="1" applyFill="1" applyBorder="1" applyProtection="1">
      <protection locked="0"/>
    </xf>
    <xf numFmtId="167" fontId="0" fillId="6" borderId="74" xfId="4" applyNumberFormat="1" applyFont="1" applyFill="1" applyBorder="1" applyProtection="1">
      <protection locked="0"/>
    </xf>
    <xf numFmtId="0" fontId="0" fillId="3" borderId="74" xfId="0" applyFill="1" applyBorder="1" applyProtection="1">
      <protection locked="0"/>
    </xf>
    <xf numFmtId="1" fontId="0" fillId="3" borderId="74" xfId="0" applyNumberFormat="1" applyFill="1" applyBorder="1" applyProtection="1">
      <protection locked="0"/>
    </xf>
    <xf numFmtId="167" fontId="0" fillId="6" borderId="81" xfId="4" applyNumberFormat="1" applyFont="1" applyFill="1" applyBorder="1" applyProtection="1">
      <protection locked="0"/>
    </xf>
    <xf numFmtId="0" fontId="0" fillId="6" borderId="80" xfId="0" applyFill="1" applyBorder="1" applyProtection="1">
      <protection locked="0"/>
    </xf>
    <xf numFmtId="0" fontId="0" fillId="6" borderId="27" xfId="0" applyFill="1" applyBorder="1" applyProtection="1">
      <protection locked="0"/>
    </xf>
    <xf numFmtId="0" fontId="0" fillId="3" borderId="24" xfId="0" applyFill="1" applyBorder="1" applyProtection="1">
      <protection locked="0"/>
    </xf>
    <xf numFmtId="0" fontId="0" fillId="3" borderId="30" xfId="0" applyFill="1" applyBorder="1" applyProtection="1">
      <protection locked="0"/>
    </xf>
    <xf numFmtId="167" fontId="0" fillId="3" borderId="70" xfId="4" applyNumberFormat="1" applyFont="1" applyFill="1" applyBorder="1" applyProtection="1">
      <protection locked="0"/>
    </xf>
    <xf numFmtId="166" fontId="0" fillId="3" borderId="30" xfId="1" applyNumberFormat="1" applyFont="1" applyFill="1" applyBorder="1" applyProtection="1">
      <protection locked="0"/>
    </xf>
    <xf numFmtId="169" fontId="0" fillId="3" borderId="33" xfId="0" applyNumberFormat="1" applyFill="1" applyBorder="1" applyProtection="1">
      <protection locked="0"/>
    </xf>
    <xf numFmtId="167" fontId="0" fillId="6" borderId="24" xfId="4" applyNumberFormat="1" applyFont="1" applyFill="1" applyBorder="1" applyProtection="1">
      <protection locked="0"/>
    </xf>
    <xf numFmtId="167" fontId="0" fillId="3" borderId="30" xfId="4" applyNumberFormat="1" applyFont="1" applyFill="1" applyBorder="1" applyProtection="1">
      <protection locked="0"/>
    </xf>
    <xf numFmtId="167" fontId="0" fillId="6" borderId="66" xfId="4" applyNumberFormat="1" applyFont="1" applyFill="1" applyBorder="1" applyProtection="1">
      <protection locked="0"/>
    </xf>
    <xf numFmtId="0" fontId="0" fillId="3" borderId="66" xfId="0" applyFill="1" applyBorder="1" applyProtection="1">
      <protection locked="0"/>
    </xf>
    <xf numFmtId="167" fontId="0" fillId="6" borderId="36" xfId="4" applyNumberFormat="1" applyFont="1" applyFill="1" applyBorder="1" applyProtection="1"/>
    <xf numFmtId="0" fontId="12" fillId="4" borderId="70" xfId="0" applyFont="1" applyFill="1" applyBorder="1" applyAlignment="1">
      <alignment horizontal="center" textRotation="90" wrapText="1"/>
    </xf>
    <xf numFmtId="0" fontId="12" fillId="4" borderId="75" xfId="0" applyFont="1" applyFill="1" applyBorder="1" applyAlignment="1">
      <alignment horizontal="center" textRotation="90" wrapText="1"/>
    </xf>
    <xf numFmtId="167" fontId="12" fillId="4" borderId="53" xfId="4" applyNumberFormat="1" applyFont="1" applyFill="1" applyBorder="1" applyAlignment="1">
      <alignment horizontal="center" textRotation="90" wrapText="1"/>
    </xf>
    <xf numFmtId="0" fontId="12" fillId="16" borderId="75" xfId="0" applyFont="1" applyFill="1" applyBorder="1" applyAlignment="1">
      <alignment horizontal="center" textRotation="90" wrapText="1"/>
    </xf>
    <xf numFmtId="0" fontId="35" fillId="13" borderId="82" xfId="8" applyFill="1"/>
    <xf numFmtId="0" fontId="35" fillId="12" borderId="82" xfId="8" applyFill="1" applyAlignment="1">
      <alignment horizontal="left"/>
    </xf>
    <xf numFmtId="167" fontId="35" fillId="12" borderId="82" xfId="8" applyNumberFormat="1" applyFill="1" applyAlignment="1">
      <alignment horizontal="left"/>
    </xf>
    <xf numFmtId="2" fontId="35" fillId="12" borderId="82" xfId="8" applyNumberFormat="1" applyFill="1" applyAlignment="1">
      <alignment horizontal="left"/>
    </xf>
    <xf numFmtId="0" fontId="35" fillId="11" borderId="82" xfId="8" applyFill="1" applyAlignment="1">
      <alignment horizontal="left"/>
    </xf>
    <xf numFmtId="9" fontId="35" fillId="12" borderId="82" xfId="8" applyNumberFormat="1" applyFill="1" applyAlignment="1">
      <alignment horizontal="left"/>
    </xf>
    <xf numFmtId="0" fontId="5" fillId="4" borderId="83" xfId="0" applyFont="1" applyFill="1" applyBorder="1" applyAlignment="1">
      <alignment horizontal="center"/>
    </xf>
    <xf numFmtId="166" fontId="2" fillId="0" borderId="60" xfId="2" applyNumberFormat="1" applyFont="1" applyFill="1" applyBorder="1" applyProtection="1">
      <protection locked="0"/>
    </xf>
    <xf numFmtId="166" fontId="2" fillId="0" borderId="45" xfId="2" applyNumberFormat="1" applyFont="1" applyFill="1" applyBorder="1" applyProtection="1">
      <protection locked="0"/>
    </xf>
    <xf numFmtId="166" fontId="2" fillId="0" borderId="48" xfId="2" applyNumberFormat="1" applyFont="1" applyFill="1" applyBorder="1" applyProtection="1">
      <protection locked="0"/>
    </xf>
    <xf numFmtId="0" fontId="3" fillId="4" borderId="13" xfId="0" applyFont="1" applyFill="1" applyBorder="1" applyAlignment="1">
      <alignment wrapText="1"/>
    </xf>
    <xf numFmtId="0" fontId="17" fillId="11" borderId="0" xfId="0" applyFont="1" applyFill="1" applyAlignment="1">
      <alignment vertical="center"/>
    </xf>
    <xf numFmtId="0" fontId="17" fillId="0" borderId="3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6" xfId="0" applyFont="1" applyBorder="1" applyAlignment="1">
      <alignment horizontal="center" vertical="center" wrapText="1"/>
    </xf>
    <xf numFmtId="165" fontId="17" fillId="0" borderId="26" xfId="1" applyFont="1" applyFill="1" applyBorder="1" applyAlignment="1">
      <alignment horizontal="center" vertical="center" wrapText="1"/>
    </xf>
    <xf numFmtId="165" fontId="17" fillId="0" borderId="26" xfId="1" applyFont="1" applyFill="1" applyBorder="1" applyAlignment="1" applyProtection="1">
      <alignment horizontal="center" vertical="center" wrapText="1"/>
    </xf>
    <xf numFmtId="0" fontId="17" fillId="0" borderId="34" xfId="0" applyFont="1" applyBorder="1" applyAlignment="1">
      <alignment horizontal="center" vertical="center" wrapText="1"/>
    </xf>
    <xf numFmtId="167" fontId="17" fillId="0" borderId="34" xfId="4" applyNumberFormat="1" applyFont="1" applyFill="1" applyBorder="1" applyAlignment="1" applyProtection="1">
      <alignment horizontal="center" vertical="center" wrapText="1"/>
    </xf>
    <xf numFmtId="167" fontId="17" fillId="0" borderId="16" xfId="4" applyNumberFormat="1" applyFont="1" applyFill="1" applyBorder="1" applyAlignment="1">
      <alignment horizontal="center" vertical="center" wrapText="1"/>
    </xf>
    <xf numFmtId="0" fontId="0" fillId="11" borderId="68" xfId="0" applyFill="1" applyBorder="1" applyAlignment="1">
      <alignment vertical="center"/>
    </xf>
    <xf numFmtId="10" fontId="17" fillId="8" borderId="13" xfId="2" applyNumberFormat="1" applyFont="1" applyFill="1" applyBorder="1" applyAlignment="1">
      <alignment vertical="center" textRotation="90"/>
    </xf>
    <xf numFmtId="9" fontId="17" fillId="8" borderId="13" xfId="2" applyFont="1" applyFill="1" applyBorder="1" applyAlignment="1">
      <alignment vertical="center" textRotation="90"/>
    </xf>
    <xf numFmtId="0" fontId="17" fillId="2" borderId="0" xfId="0" applyFont="1" applyFill="1" applyAlignment="1">
      <alignment vertical="center"/>
    </xf>
    <xf numFmtId="169" fontId="2" fillId="10" borderId="40" xfId="4" applyNumberFormat="1" applyFont="1" applyFill="1" applyBorder="1" applyAlignment="1">
      <alignment horizontal="center" vertical="center" textRotation="90"/>
    </xf>
    <xf numFmtId="169" fontId="2" fillId="10" borderId="41" xfId="4" applyNumberFormat="1" applyFont="1" applyFill="1" applyBorder="1" applyAlignment="1">
      <alignment horizontal="center" vertical="center" textRotation="90"/>
    </xf>
    <xf numFmtId="169" fontId="2" fillId="10" borderId="42" xfId="4" applyNumberFormat="1" applyFont="1" applyFill="1" applyBorder="1" applyAlignment="1">
      <alignment horizontal="center" vertical="center" textRotation="90"/>
    </xf>
    <xf numFmtId="169" fontId="2" fillId="8" borderId="13" xfId="4" applyNumberFormat="1" applyFont="1" applyFill="1" applyBorder="1" applyAlignment="1">
      <alignment horizontal="center" vertical="center" textRotation="90" wrapText="1"/>
    </xf>
    <xf numFmtId="169" fontId="2" fillId="8" borderId="13" xfId="4" applyNumberFormat="1" applyFont="1" applyFill="1" applyBorder="1" applyAlignment="1">
      <alignment horizontal="center" vertical="center" textRotation="90"/>
    </xf>
    <xf numFmtId="169" fontId="17" fillId="6" borderId="43" xfId="1" applyNumberFormat="1" applyFont="1" applyFill="1" applyBorder="1"/>
    <xf numFmtId="169" fontId="17" fillId="6" borderId="44" xfId="1" applyNumberFormat="1" applyFont="1" applyFill="1" applyBorder="1"/>
    <xf numFmtId="169" fontId="17" fillId="6" borderId="60" xfId="2" applyNumberFormat="1" applyFont="1" applyFill="1" applyBorder="1"/>
    <xf numFmtId="169" fontId="17" fillId="6" borderId="45" xfId="2" applyNumberFormat="1" applyFont="1" applyFill="1" applyBorder="1"/>
    <xf numFmtId="0" fontId="17" fillId="16" borderId="16" xfId="0" applyFont="1" applyFill="1" applyBorder="1" applyAlignment="1">
      <alignment horizontal="center" vertical="center" wrapText="1"/>
    </xf>
    <xf numFmtId="0" fontId="17" fillId="16" borderId="26" xfId="0" applyFont="1" applyFill="1" applyBorder="1" applyAlignment="1">
      <alignment horizontal="center" vertical="center" wrapText="1"/>
    </xf>
    <xf numFmtId="166" fontId="17" fillId="16" borderId="26" xfId="1" applyNumberFormat="1" applyFont="1" applyFill="1" applyBorder="1" applyAlignment="1" applyProtection="1">
      <alignment horizontal="center" vertical="center" wrapText="1"/>
    </xf>
    <xf numFmtId="0" fontId="17" fillId="16" borderId="34" xfId="0" applyFont="1" applyFill="1" applyBorder="1" applyAlignment="1">
      <alignment horizontal="center" vertical="center" wrapText="1"/>
    </xf>
    <xf numFmtId="0" fontId="17" fillId="16" borderId="13" xfId="0" applyFont="1" applyFill="1" applyBorder="1" applyAlignment="1">
      <alignment horizontal="center" vertical="center" wrapText="1"/>
    </xf>
    <xf numFmtId="0" fontId="17" fillId="16" borderId="37" xfId="0" applyFont="1" applyFill="1" applyBorder="1" applyAlignment="1">
      <alignment horizontal="center" vertical="center" wrapText="1"/>
    </xf>
    <xf numFmtId="167" fontId="17" fillId="16" borderId="34" xfId="4" applyNumberFormat="1" applyFont="1" applyFill="1" applyBorder="1" applyAlignment="1">
      <alignment horizontal="center" vertical="center" wrapText="1"/>
    </xf>
    <xf numFmtId="0" fontId="17" fillId="16" borderId="57" xfId="0" applyFont="1" applyFill="1" applyBorder="1" applyAlignment="1">
      <alignment horizontal="center" vertical="center" wrapText="1"/>
    </xf>
    <xf numFmtId="10" fontId="17" fillId="16" borderId="26" xfId="2" applyNumberFormat="1" applyFont="1" applyFill="1" applyBorder="1" applyAlignment="1">
      <alignment horizontal="center" vertical="center" wrapText="1"/>
    </xf>
    <xf numFmtId="10" fontId="17" fillId="16" borderId="34" xfId="2" applyNumberFormat="1" applyFont="1" applyFill="1" applyBorder="1" applyAlignment="1">
      <alignment horizontal="center" vertical="center" wrapText="1"/>
    </xf>
    <xf numFmtId="167" fontId="17" fillId="16" borderId="34" xfId="2" applyNumberFormat="1" applyFont="1" applyFill="1" applyBorder="1" applyAlignment="1">
      <alignment horizontal="center" vertical="center" wrapText="1"/>
    </xf>
    <xf numFmtId="167" fontId="17" fillId="16" borderId="21" xfId="4" applyNumberFormat="1" applyFont="1" applyFill="1" applyBorder="1" applyAlignment="1">
      <alignment horizontal="center" vertical="center" wrapText="1"/>
    </xf>
    <xf numFmtId="9" fontId="0" fillId="11" borderId="0" xfId="2" applyFont="1" applyFill="1" applyAlignment="1">
      <alignment vertical="center"/>
    </xf>
    <xf numFmtId="9" fontId="17" fillId="16" borderId="13" xfId="2" applyFont="1" applyFill="1" applyBorder="1" applyAlignment="1">
      <alignment vertical="center" textRotation="90"/>
    </xf>
    <xf numFmtId="167" fontId="17" fillId="16" borderId="14" xfId="4" applyNumberFormat="1" applyFont="1" applyFill="1" applyBorder="1" applyAlignment="1">
      <alignment horizontal="center" vertical="center" wrapText="1"/>
    </xf>
    <xf numFmtId="167" fontId="17" fillId="16" borderId="15" xfId="4" applyNumberFormat="1" applyFont="1" applyFill="1" applyBorder="1" applyAlignment="1">
      <alignment horizontal="center" vertical="center" wrapText="1"/>
    </xf>
    <xf numFmtId="3" fontId="17" fillId="16" borderId="15" xfId="0" applyNumberFormat="1" applyFont="1" applyFill="1" applyBorder="1" applyAlignment="1">
      <alignment vertical="center" textRotation="90"/>
    </xf>
    <xf numFmtId="3" fontId="17" fillId="16" borderId="84" xfId="0" applyNumberFormat="1" applyFont="1" applyFill="1" applyBorder="1" applyAlignment="1">
      <alignment vertical="center" textRotation="90"/>
    </xf>
    <xf numFmtId="3" fontId="17" fillId="16" borderId="69" xfId="0" applyNumberFormat="1" applyFont="1" applyFill="1" applyBorder="1" applyAlignment="1">
      <alignment vertical="center" textRotation="90"/>
    </xf>
    <xf numFmtId="0" fontId="0" fillId="6" borderId="33" xfId="0" applyFill="1" applyBorder="1" applyProtection="1">
      <protection locked="0"/>
    </xf>
    <xf numFmtId="0" fontId="0" fillId="6" borderId="39" xfId="0" applyFill="1" applyBorder="1" applyProtection="1">
      <protection locked="0"/>
    </xf>
    <xf numFmtId="0" fontId="0" fillId="6" borderId="38" xfId="0" applyFill="1" applyBorder="1" applyProtection="1">
      <protection locked="0"/>
    </xf>
    <xf numFmtId="9" fontId="19" fillId="16" borderId="14" xfId="2" applyFont="1" applyFill="1" applyBorder="1" applyAlignment="1">
      <alignment horizontal="center" vertical="center" wrapText="1"/>
    </xf>
    <xf numFmtId="9" fontId="19" fillId="16" borderId="21" xfId="2" applyFont="1" applyFill="1" applyBorder="1" applyAlignment="1">
      <alignment horizontal="center" vertical="center" wrapText="1"/>
    </xf>
    <xf numFmtId="9" fontId="19" fillId="16" borderId="21" xfId="0" applyNumberFormat="1" applyFont="1" applyFill="1" applyBorder="1" applyAlignment="1">
      <alignment horizontal="center" vertical="center" wrapText="1"/>
    </xf>
    <xf numFmtId="9" fontId="17" fillId="6" borderId="38" xfId="2" applyFont="1" applyFill="1" applyBorder="1"/>
    <xf numFmtId="9" fontId="17" fillId="6" borderId="33" xfId="2" applyFont="1" applyFill="1" applyBorder="1"/>
    <xf numFmtId="172" fontId="17" fillId="6" borderId="51" xfId="4" applyNumberFormat="1" applyFont="1" applyFill="1" applyBorder="1"/>
    <xf numFmtId="172" fontId="17" fillId="6" borderId="20" xfId="4" applyNumberFormat="1" applyFont="1" applyFill="1" applyBorder="1"/>
    <xf numFmtId="166" fontId="0" fillId="6" borderId="39" xfId="0" applyNumberFormat="1" applyFill="1" applyBorder="1" applyAlignment="1">
      <alignment horizontal="center" wrapText="1"/>
    </xf>
    <xf numFmtId="166" fontId="0" fillId="6" borderId="38" xfId="0" applyNumberFormat="1" applyFill="1" applyBorder="1" applyAlignment="1">
      <alignment horizontal="center" wrapText="1"/>
    </xf>
    <xf numFmtId="166" fontId="0" fillId="6" borderId="33" xfId="0" applyNumberFormat="1" applyFill="1" applyBorder="1" applyAlignment="1">
      <alignment horizontal="center" wrapText="1"/>
    </xf>
    <xf numFmtId="0" fontId="35" fillId="13" borderId="82" xfId="8" applyFill="1" applyAlignment="1"/>
    <xf numFmtId="0" fontId="35" fillId="13" borderId="82" xfId="8" applyFill="1" applyAlignment="1">
      <alignment horizontal="left"/>
    </xf>
    <xf numFmtId="0" fontId="25" fillId="13" borderId="0" xfId="0" applyFont="1" applyFill="1" applyAlignment="1">
      <alignment horizontal="center"/>
    </xf>
    <xf numFmtId="0" fontId="11" fillId="14" borderId="2" xfId="3" applyFont="1" applyFill="1" applyBorder="1" applyAlignment="1" applyProtection="1">
      <alignment horizontal="center"/>
    </xf>
    <xf numFmtId="0" fontId="11" fillId="14" borderId="3" xfId="3" applyFont="1" applyFill="1" applyBorder="1" applyAlignment="1" applyProtection="1">
      <alignment horizontal="center"/>
    </xf>
    <xf numFmtId="0" fontId="11" fillId="14" borderId="4" xfId="3" applyFont="1" applyFill="1" applyBorder="1" applyAlignment="1" applyProtection="1">
      <alignment horizontal="center"/>
    </xf>
    <xf numFmtId="0" fontId="31"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3" borderId="0" xfId="0" applyFont="1" applyFill="1" applyAlignment="1">
      <alignment horizontal="center" vertical="center" wrapText="1"/>
    </xf>
    <xf numFmtId="0" fontId="13" fillId="13" borderId="9"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1" fillId="9" borderId="2" xfId="3" applyFont="1" applyFill="1" applyBorder="1" applyAlignment="1">
      <alignment horizontal="center" vertical="center"/>
    </xf>
    <xf numFmtId="0" fontId="11" fillId="9" borderId="3" xfId="3" applyFont="1" applyFill="1" applyBorder="1" applyAlignment="1">
      <alignment horizontal="center" vertical="center"/>
    </xf>
    <xf numFmtId="0" fontId="11" fillId="9" borderId="4" xfId="3" applyFont="1" applyFill="1" applyBorder="1" applyAlignment="1">
      <alignment horizontal="center" vertical="center"/>
    </xf>
    <xf numFmtId="0" fontId="24" fillId="13" borderId="0" xfId="0" applyFont="1" applyFill="1" applyAlignment="1">
      <alignment horizontal="center"/>
    </xf>
    <xf numFmtId="0" fontId="11" fillId="11" borderId="2" xfId="3" applyFont="1" applyFill="1" applyBorder="1" applyAlignment="1">
      <alignment horizontal="center"/>
    </xf>
    <xf numFmtId="0" fontId="11" fillId="11" borderId="3" xfId="3" applyFont="1" applyFill="1" applyBorder="1" applyAlignment="1">
      <alignment horizontal="center"/>
    </xf>
    <xf numFmtId="0" fontId="11" fillId="11" borderId="4" xfId="3" applyFont="1" applyFill="1" applyBorder="1" applyAlignment="1">
      <alignment horizont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1" fillId="11" borderId="2" xfId="3" applyFont="1" applyFill="1" applyBorder="1" applyAlignment="1">
      <alignment horizontal="center" vertical="center"/>
    </xf>
    <xf numFmtId="0" fontId="11" fillId="11" borderId="3" xfId="3" applyFont="1" applyFill="1" applyBorder="1" applyAlignment="1">
      <alignment horizontal="center" vertical="center"/>
    </xf>
    <xf numFmtId="0" fontId="11" fillId="11" borderId="4" xfId="3" applyFont="1" applyFill="1" applyBorder="1" applyAlignment="1">
      <alignment horizontal="center" vertical="center"/>
    </xf>
    <xf numFmtId="0" fontId="16" fillId="13" borderId="2" xfId="0" applyFont="1" applyFill="1" applyBorder="1" applyAlignment="1">
      <alignment horizontal="center" vertical="center" wrapText="1"/>
    </xf>
    <xf numFmtId="0" fontId="26" fillId="13" borderId="5" xfId="0" applyFont="1" applyFill="1" applyBorder="1" applyAlignment="1">
      <alignment horizontal="left" vertical="top"/>
    </xf>
    <xf numFmtId="0" fontId="26" fillId="13" borderId="6" xfId="0" applyFont="1" applyFill="1" applyBorder="1" applyAlignment="1">
      <alignment horizontal="left" vertical="top"/>
    </xf>
    <xf numFmtId="0" fontId="26" fillId="13" borderId="7" xfId="0" applyFont="1" applyFill="1" applyBorder="1" applyAlignment="1">
      <alignment horizontal="left" vertical="top"/>
    </xf>
    <xf numFmtId="0" fontId="26" fillId="13" borderId="10" xfId="0" applyFont="1" applyFill="1" applyBorder="1" applyAlignment="1">
      <alignment horizontal="left" vertical="top"/>
    </xf>
    <xf numFmtId="0" fontId="26" fillId="13" borderId="11" xfId="0" applyFont="1" applyFill="1" applyBorder="1" applyAlignment="1">
      <alignment horizontal="left" vertical="top"/>
    </xf>
    <xf numFmtId="0" fontId="26" fillId="13" borderId="12" xfId="0" applyFont="1" applyFill="1" applyBorder="1" applyAlignment="1">
      <alignment horizontal="left" vertical="top"/>
    </xf>
    <xf numFmtId="0" fontId="33" fillId="13" borderId="2"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1" fillId="13" borderId="11"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3" borderId="4" xfId="0" applyFont="1" applyFill="1" applyBorder="1" applyAlignment="1">
      <alignment horizontal="center" vertical="center" wrapText="1"/>
    </xf>
    <xf numFmtId="0" fontId="7" fillId="3" borderId="0" xfId="0" applyFont="1" applyFill="1" applyAlignment="1">
      <alignment horizontal="center"/>
    </xf>
    <xf numFmtId="0" fontId="6" fillId="3" borderId="0" xfId="0" applyFont="1" applyFill="1" applyAlignment="1">
      <alignment horizontal="center"/>
    </xf>
    <xf numFmtId="0" fontId="4" fillId="3" borderId="17" xfId="0" applyFont="1" applyFill="1" applyBorder="1" applyAlignment="1">
      <alignment horizontal="center" vertical="center" textRotation="90"/>
    </xf>
    <xf numFmtId="0" fontId="4" fillId="3" borderId="18" xfId="0" applyFont="1" applyFill="1" applyBorder="1" applyAlignment="1">
      <alignment horizontal="center" vertical="center" textRotation="90"/>
    </xf>
    <xf numFmtId="0" fontId="4" fillId="3" borderId="19" xfId="0" applyFont="1" applyFill="1" applyBorder="1" applyAlignment="1">
      <alignment horizontal="center" vertical="center" textRotation="90"/>
    </xf>
    <xf numFmtId="0" fontId="3" fillId="3" borderId="14" xfId="0" applyFont="1" applyFill="1" applyBorder="1" applyAlignment="1">
      <alignment horizontal="center"/>
    </xf>
    <xf numFmtId="0" fontId="3" fillId="3" borderId="15" xfId="0" applyFont="1" applyFill="1" applyBorder="1" applyAlignment="1">
      <alignment horizontal="center"/>
    </xf>
    <xf numFmtId="165" fontId="12" fillId="5" borderId="25" xfId="1" applyFont="1" applyFill="1" applyBorder="1" applyAlignment="1">
      <alignment horizontal="center" textRotation="90" wrapText="1"/>
    </xf>
    <xf numFmtId="165" fontId="12" fillId="5" borderId="20" xfId="1" applyFont="1" applyFill="1" applyBorder="1" applyAlignment="1">
      <alignment horizontal="center" textRotation="90" wrapText="1"/>
    </xf>
    <xf numFmtId="0" fontId="12" fillId="5" borderId="25" xfId="0" applyFont="1" applyFill="1" applyBorder="1" applyAlignment="1">
      <alignment horizontal="center" textRotation="90" wrapText="1"/>
    </xf>
    <xf numFmtId="0" fontId="12" fillId="5" borderId="20" xfId="0" applyFont="1" applyFill="1" applyBorder="1" applyAlignment="1">
      <alignment horizontal="center" textRotation="90" wrapText="1"/>
    </xf>
    <xf numFmtId="10" fontId="12" fillId="5" borderId="55" xfId="2" applyNumberFormat="1" applyFont="1" applyFill="1" applyBorder="1" applyAlignment="1">
      <alignment horizontal="center" textRotation="90" wrapText="1"/>
    </xf>
    <xf numFmtId="10" fontId="12" fillId="5" borderId="56" xfId="2" applyNumberFormat="1" applyFont="1" applyFill="1" applyBorder="1" applyAlignment="1">
      <alignment horizontal="center" textRotation="90" wrapText="1"/>
    </xf>
    <xf numFmtId="10" fontId="12" fillId="5" borderId="55" xfId="0" applyNumberFormat="1" applyFont="1" applyFill="1" applyBorder="1" applyAlignment="1">
      <alignment horizontal="center" textRotation="90" wrapText="1"/>
    </xf>
    <xf numFmtId="10" fontId="12" fillId="5" borderId="56" xfId="0" applyNumberFormat="1" applyFont="1" applyFill="1" applyBorder="1" applyAlignment="1">
      <alignment horizontal="center" textRotation="90" wrapText="1"/>
    </xf>
    <xf numFmtId="9" fontId="12" fillId="5" borderId="25" xfId="2" applyFont="1" applyFill="1" applyBorder="1" applyAlignment="1">
      <alignment horizontal="center" textRotation="90" wrapText="1"/>
    </xf>
    <xf numFmtId="9" fontId="12" fillId="5" borderId="20" xfId="2" applyFont="1" applyFill="1" applyBorder="1" applyAlignment="1">
      <alignment horizontal="center" textRotation="90" wrapText="1"/>
    </xf>
    <xf numFmtId="0" fontId="35" fillId="12" borderId="82" xfId="8" applyFill="1" applyAlignment="1">
      <alignment horizontal="left"/>
    </xf>
    <xf numFmtId="43" fontId="35" fillId="12" borderId="82" xfId="8" applyNumberFormat="1" applyFill="1" applyAlignment="1">
      <alignment horizontal="left"/>
    </xf>
    <xf numFmtId="166" fontId="35" fillId="12" borderId="82" xfId="8" applyNumberFormat="1" applyFill="1" applyAlignment="1">
      <alignment horizontal="left"/>
    </xf>
    <xf numFmtId="0" fontId="12" fillId="12" borderId="14" xfId="0" applyFont="1" applyFill="1" applyBorder="1" applyAlignment="1">
      <alignment horizontal="center" vertical="center"/>
    </xf>
    <xf numFmtId="0" fontId="12" fillId="12" borderId="21" xfId="0" applyFont="1" applyFill="1" applyBorder="1" applyAlignment="1">
      <alignment horizontal="center" vertical="center"/>
    </xf>
    <xf numFmtId="0" fontId="4" fillId="5" borderId="14" xfId="0" applyFont="1" applyFill="1" applyBorder="1" applyAlignment="1">
      <alignment horizontal="left" vertical="center"/>
    </xf>
    <xf numFmtId="0" fontId="4" fillId="5" borderId="21" xfId="0" applyFont="1" applyFill="1" applyBorder="1" applyAlignment="1">
      <alignment horizontal="left" vertical="center"/>
    </xf>
    <xf numFmtId="0" fontId="12" fillId="4" borderId="14" xfId="0" applyFont="1" applyFill="1" applyBorder="1" applyAlignment="1">
      <alignment horizontal="center" vertical="center"/>
    </xf>
    <xf numFmtId="0" fontId="12" fillId="4" borderId="21" xfId="0" applyFont="1" applyFill="1" applyBorder="1" applyAlignment="1">
      <alignment horizontal="center" vertical="center"/>
    </xf>
    <xf numFmtId="165" fontId="12" fillId="4" borderId="21" xfId="1" applyFont="1" applyFill="1" applyBorder="1" applyAlignment="1">
      <alignment horizontal="center" vertical="center"/>
    </xf>
    <xf numFmtId="165" fontId="12" fillId="4" borderId="21" xfId="1" applyFont="1" applyFill="1" applyBorder="1" applyAlignment="1" applyProtection="1">
      <alignment horizontal="center" vertical="center"/>
    </xf>
    <xf numFmtId="0" fontId="12" fillId="4" borderId="15" xfId="0" applyFont="1" applyFill="1" applyBorder="1" applyAlignment="1">
      <alignment horizontal="center" vertical="center"/>
    </xf>
    <xf numFmtId="0" fontId="12" fillId="5" borderId="32" xfId="0" applyFont="1" applyFill="1" applyBorder="1" applyAlignment="1">
      <alignment horizontal="center" textRotation="90" wrapText="1"/>
    </xf>
    <xf numFmtId="0" fontId="12" fillId="5" borderId="71" xfId="0" applyFont="1" applyFill="1" applyBorder="1" applyAlignment="1">
      <alignment horizontal="center" textRotation="90" wrapText="1"/>
    </xf>
    <xf numFmtId="0" fontId="4" fillId="16" borderId="14" xfId="0" applyFont="1" applyFill="1" applyBorder="1" applyAlignment="1">
      <alignment horizontal="center"/>
    </xf>
    <xf numFmtId="0" fontId="4" fillId="16" borderId="21" xfId="0" applyFont="1" applyFill="1" applyBorder="1" applyAlignment="1">
      <alignment horizontal="center"/>
    </xf>
    <xf numFmtId="0" fontId="4" fillId="16" borderId="15" xfId="0" applyFont="1" applyFill="1" applyBorder="1" applyAlignment="1">
      <alignment horizontal="center"/>
    </xf>
    <xf numFmtId="0" fontId="7" fillId="11" borderId="0" xfId="0" applyFont="1" applyFill="1" applyAlignment="1">
      <alignment horizontal="left"/>
    </xf>
    <xf numFmtId="0" fontId="6" fillId="11" borderId="0" xfId="0" applyFont="1" applyFill="1" applyAlignment="1">
      <alignment horizontal="left"/>
    </xf>
    <xf numFmtId="0" fontId="4" fillId="11" borderId="14" xfId="0" applyFont="1" applyFill="1" applyBorder="1" applyAlignment="1">
      <alignment horizontal="center"/>
    </xf>
    <xf numFmtId="0" fontId="4" fillId="11" borderId="21" xfId="0" applyFont="1" applyFill="1" applyBorder="1" applyAlignment="1">
      <alignment horizontal="center"/>
    </xf>
    <xf numFmtId="0" fontId="30" fillId="11" borderId="14" xfId="0" applyFont="1" applyFill="1" applyBorder="1" applyAlignment="1">
      <alignment horizontal="left" vertical="top" wrapText="1"/>
    </xf>
    <xf numFmtId="0" fontId="30" fillId="11" borderId="21" xfId="0" applyFont="1" applyFill="1" applyBorder="1" applyAlignment="1">
      <alignment horizontal="left" vertical="top" wrapText="1"/>
    </xf>
    <xf numFmtId="0" fontId="30" fillId="11" borderId="15" xfId="0" applyFont="1" applyFill="1" applyBorder="1" applyAlignment="1">
      <alignment horizontal="left" vertical="top" wrapText="1"/>
    </xf>
    <xf numFmtId="0" fontId="4" fillId="11" borderId="14" xfId="0" applyFont="1" applyFill="1" applyBorder="1" applyAlignment="1">
      <alignment horizontal="left" vertical="center"/>
    </xf>
    <xf numFmtId="0" fontId="4" fillId="11" borderId="21" xfId="0" applyFont="1" applyFill="1" applyBorder="1" applyAlignment="1">
      <alignment horizontal="left" vertical="center"/>
    </xf>
    <xf numFmtId="9" fontId="4" fillId="16" borderId="14" xfId="2" applyFont="1" applyFill="1" applyBorder="1" applyAlignment="1">
      <alignment horizontal="center"/>
    </xf>
    <xf numFmtId="9" fontId="4" fillId="16" borderId="21" xfId="2" applyFont="1" applyFill="1" applyBorder="1" applyAlignment="1">
      <alignment horizontal="center"/>
    </xf>
    <xf numFmtId="9" fontId="4" fillId="16" borderId="15" xfId="2" applyFont="1" applyFill="1" applyBorder="1" applyAlignment="1">
      <alignment horizontal="center"/>
    </xf>
    <xf numFmtId="0" fontId="4" fillId="16" borderId="25" xfId="0" applyFont="1" applyFill="1" applyBorder="1" applyAlignment="1">
      <alignment horizontal="center" textRotation="90" wrapText="1"/>
    </xf>
    <xf numFmtId="0" fontId="4" fillId="16" borderId="54" xfId="0" applyFont="1" applyFill="1" applyBorder="1" applyAlignment="1">
      <alignment horizontal="center" textRotation="90" wrapText="1"/>
    </xf>
    <xf numFmtId="9" fontId="4" fillId="16" borderId="25" xfId="2" applyFont="1" applyFill="1" applyBorder="1" applyAlignment="1">
      <alignment horizontal="center" textRotation="90" wrapText="1"/>
    </xf>
    <xf numFmtId="9" fontId="4" fillId="16" borderId="54" xfId="2" applyFont="1" applyFill="1" applyBorder="1" applyAlignment="1">
      <alignment horizontal="center" textRotation="90" wrapText="1"/>
    </xf>
    <xf numFmtId="9" fontId="4" fillId="16" borderId="55" xfId="2" applyFont="1" applyFill="1" applyBorder="1" applyAlignment="1">
      <alignment horizontal="center" textRotation="90" wrapText="1"/>
    </xf>
    <xf numFmtId="9" fontId="4" fillId="16" borderId="78" xfId="2" applyFont="1" applyFill="1" applyBorder="1" applyAlignment="1">
      <alignment horizontal="center" textRotation="90" wrapText="1"/>
    </xf>
    <xf numFmtId="0" fontId="4" fillId="16" borderId="55" xfId="0" applyFont="1" applyFill="1" applyBorder="1" applyAlignment="1">
      <alignment horizontal="center" textRotation="90" wrapText="1"/>
    </xf>
    <xf numFmtId="0" fontId="4" fillId="16" borderId="78" xfId="0" applyFont="1" applyFill="1" applyBorder="1" applyAlignment="1">
      <alignment horizontal="center" textRotation="90" wrapText="1"/>
    </xf>
    <xf numFmtId="9" fontId="4" fillId="16" borderId="25" xfId="0" applyNumberFormat="1" applyFont="1" applyFill="1" applyBorder="1" applyAlignment="1">
      <alignment horizontal="center" textRotation="90" wrapText="1"/>
    </xf>
    <xf numFmtId="0" fontId="4" fillId="16" borderId="14" xfId="0" applyFont="1" applyFill="1" applyBorder="1" applyAlignment="1">
      <alignment horizontal="center" wrapText="1"/>
    </xf>
    <xf numFmtId="0" fontId="4" fillId="16" borderId="21" xfId="0" applyFont="1" applyFill="1" applyBorder="1" applyAlignment="1">
      <alignment horizontal="center" wrapText="1"/>
    </xf>
    <xf numFmtId="0" fontId="4" fillId="16" borderId="15" xfId="0" applyFont="1" applyFill="1" applyBorder="1" applyAlignment="1">
      <alignment horizontal="center" wrapText="1"/>
    </xf>
    <xf numFmtId="0" fontId="4" fillId="16" borderId="26" xfId="0" applyFont="1" applyFill="1" applyBorder="1" applyAlignment="1">
      <alignment horizontal="center"/>
    </xf>
    <xf numFmtId="0" fontId="4" fillId="16" borderId="34" xfId="0" applyFont="1" applyFill="1" applyBorder="1" applyAlignment="1">
      <alignment horizontal="center"/>
    </xf>
    <xf numFmtId="0" fontId="4" fillId="16" borderId="57" xfId="0" applyFont="1" applyFill="1" applyBorder="1" applyAlignment="1">
      <alignment horizontal="center"/>
    </xf>
    <xf numFmtId="0" fontId="7" fillId="11" borderId="0" xfId="0" applyFont="1" applyFill="1" applyAlignment="1">
      <alignment horizontal="center"/>
    </xf>
    <xf numFmtId="0" fontId="6" fillId="11" borderId="0" xfId="0" applyFont="1" applyFill="1" applyAlignment="1">
      <alignment horizontal="center"/>
    </xf>
    <xf numFmtId="0" fontId="7" fillId="13" borderId="0" xfId="0" applyFont="1" applyFill="1" applyAlignment="1">
      <alignment horizontal="center" vertical="center"/>
    </xf>
    <xf numFmtId="0" fontId="7" fillId="13" borderId="0" xfId="0" applyFont="1" applyFill="1" applyAlignment="1">
      <alignment horizontal="center"/>
    </xf>
    <xf numFmtId="0" fontId="6" fillId="13" borderId="0" xfId="0" applyFont="1" applyFill="1" applyAlignment="1">
      <alignment horizontal="center" vertical="center"/>
    </xf>
    <xf numFmtId="0" fontId="4" fillId="13" borderId="14"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4" fillId="13" borderId="20" xfId="0" applyFont="1" applyFill="1" applyBorder="1" applyAlignment="1">
      <alignment horizontal="center" vertical="center" wrapText="1"/>
    </xf>
    <xf numFmtId="0" fontId="0" fillId="13" borderId="85" xfId="0" applyFill="1" applyBorder="1"/>
    <xf numFmtId="0" fontId="0" fillId="13" borderId="86" xfId="0" applyFill="1" applyBorder="1"/>
    <xf numFmtId="166" fontId="0" fillId="13" borderId="87" xfId="1" applyNumberFormat="1" applyFont="1" applyFill="1" applyBorder="1"/>
    <xf numFmtId="166" fontId="0" fillId="13" borderId="88" xfId="1" applyNumberFormat="1" applyFont="1" applyFill="1" applyBorder="1"/>
    <xf numFmtId="166" fontId="0" fillId="13" borderId="89" xfId="1" applyNumberFormat="1" applyFont="1" applyFill="1" applyBorder="1"/>
    <xf numFmtId="166" fontId="0" fillId="13" borderId="77" xfId="1" applyNumberFormat="1" applyFont="1" applyFill="1" applyBorder="1"/>
    <xf numFmtId="166" fontId="0" fillId="13" borderId="39" xfId="1" applyNumberFormat="1" applyFont="1" applyFill="1" applyBorder="1"/>
    <xf numFmtId="166" fontId="0" fillId="13" borderId="38" xfId="1" applyNumberFormat="1" applyFont="1" applyFill="1" applyBorder="1"/>
    <xf numFmtId="166" fontId="0" fillId="13" borderId="33" xfId="1" applyNumberFormat="1" applyFont="1" applyFill="1" applyBorder="1"/>
    <xf numFmtId="0" fontId="0" fillId="13" borderId="39" xfId="0" applyFill="1" applyBorder="1"/>
    <xf numFmtId="0" fontId="0" fillId="13" borderId="51" xfId="0" applyFill="1" applyBorder="1"/>
    <xf numFmtId="0" fontId="0" fillId="13" borderId="20" xfId="0" applyFill="1" applyBorder="1"/>
    <xf numFmtId="0" fontId="36" fillId="3" borderId="1" xfId="0" applyFont="1" applyFill="1" applyBorder="1"/>
    <xf numFmtId="0" fontId="0" fillId="3" borderId="0" xfId="0" applyFill="1" applyBorder="1"/>
  </cellXfs>
  <cellStyles count="9">
    <cellStyle name="Comma" xfId="1" builtinId="3"/>
    <cellStyle name="Comma 2" xfId="7" xr:uid="{1BCE9E75-1D7D-48B3-B336-FD8B0A03AAA8}"/>
    <cellStyle name="Currency" xfId="4" builtinId="4"/>
    <cellStyle name="Heading 1" xfId="8" builtinId="16"/>
    <cellStyle name="Hyperlink" xfId="3" builtinId="8"/>
    <cellStyle name="I_#_0dp" xfId="5" xr:uid="{00000000-0005-0000-0000-000003000000}"/>
    <cellStyle name="Normal" xfId="0" builtinId="0"/>
    <cellStyle name="Percent" xfId="2" builtinId="5"/>
    <cellStyle name="Percent 2" xfId="6" xr:uid="{00000000-0005-0000-0000-000006000000}"/>
  </cellStyles>
  <dxfs count="53">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ont>
        <b val="0"/>
        <i val="0"/>
        <strike val="0"/>
        <condense val="0"/>
        <extend val="0"/>
        <outline val="0"/>
        <shadow val="0"/>
        <u val="none"/>
        <vertAlign val="baseline"/>
        <sz val="11"/>
        <color theme="1"/>
        <name val="Century Gothic"/>
        <family val="2"/>
        <scheme val="minor"/>
      </font>
      <numFmt numFmtId="167" formatCode="_-&quot;$&quot;* #,##0_-;\-&quot;$&quot;* #,##0_-;_-&quot;$&quot;* &quot;-&quot;??_-;_-@_-"/>
      <fill>
        <patternFill patternType="solid">
          <fgColor indexed="64"/>
          <bgColor theme="0" tint="-0.14999847407452621"/>
        </patternFill>
      </fill>
      <border diagonalUp="0" diagonalDown="0">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left style="thin">
          <color indexed="64"/>
        </left>
        <right style="medium">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left style="thin">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family val="2"/>
        <scheme val="minor"/>
      </font>
      <numFmt numFmtId="170" formatCode="0.0%"/>
      <fill>
        <patternFill patternType="none">
          <fgColor indexed="64"/>
          <bgColor indexed="65"/>
        </patternFill>
      </fill>
      <border diagonalUp="0" diagonalDown="0">
        <left style="thin">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family val="2"/>
        <scheme val="minor"/>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family val="2"/>
        <scheme val="minor"/>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4" formatCode="0.00%"/>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4" formatCode="0.00%"/>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left style="thin">
          <color indexed="64"/>
        </left>
        <right style="medium">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outline="0">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1"/>
        <color theme="1"/>
        <name val="Century Gothic"/>
        <family val="2"/>
        <scheme val="minor"/>
      </font>
      <numFmt numFmtId="167" formatCode="_-&quot;$&quot;* #,##0_-;\-&quot;$&quot;* #,##0_-;_-&quot;$&quot;* &quot;-&quot;??_-;_-@_-"/>
      <fill>
        <patternFill patternType="solid">
          <fgColor indexed="64"/>
          <bgColor theme="0" tint="-0.14999847407452621"/>
        </patternFill>
      </fill>
      <border diagonalUp="0" diagonalDown="0">
        <left style="thin">
          <color indexed="64"/>
        </left>
        <right style="thin">
          <color indexed="64"/>
        </right>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70" formatCode="0.0%"/>
      <fill>
        <patternFill patternType="solid">
          <fgColor indexed="64"/>
          <bgColor theme="0" tint="-0.14999847407452621"/>
        </patternFill>
      </fill>
      <border diagonalUp="0" diagonalDown="0" outline="0">
        <left style="thin">
          <color indexed="64"/>
        </left>
        <right/>
        <top style="dotted">
          <color indexed="64"/>
        </top>
        <bottom style="dotted">
          <color indexed="64"/>
        </bottom>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patternFill>
      </fill>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patternFill>
      </fill>
      <border diagonalUp="0" diagonalDown="0">
        <left style="thin">
          <color indexed="64"/>
        </left>
        <right style="medium">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0" tint="-0.14999847407452621"/>
        </patternFill>
      </fill>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6" formatCode="_-* #,##0_-;\-* #,##0_-;_-* &quot;-&quot;??_-;_-@_-"/>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medium">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theme="0"/>
        </patternFill>
      </fill>
      <border diagonalUp="0" diagonalDown="0">
        <left/>
        <right style="thin">
          <color indexed="64"/>
        </right>
        <top style="dotted">
          <color indexed="64"/>
        </top>
        <bottom style="dotted">
          <color indexed="64"/>
        </bottom>
        <vertical/>
        <horizontal/>
      </border>
      <protection locked="0" hidden="0"/>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Century Gothic"/>
        <family val="2"/>
        <scheme val="minor"/>
      </font>
      <numFmt numFmtId="167" formatCode="_-&quot;$&quot;* #,##0_-;\-&quot;$&quot;* #,##0_-;_-&quot;$&quot;* &quot;-&quot;??_-;_-@_-"/>
      <fill>
        <patternFill patternType="solid">
          <fgColor indexed="64"/>
          <bgColor theme="4"/>
        </patternFill>
      </fill>
      <alignment horizontal="center" vertical="bottom" textRotation="90" wrapText="1" indent="0" justifyLastLine="0" shrinkToFit="0" readingOrder="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6" tint="0.39997558519241921"/>
        </patternFill>
      </fill>
      <border diagonalUp="0" diagonalDown="0" outline="0">
        <left style="thin">
          <color indexed="64"/>
        </left>
        <right/>
        <top style="dotted">
          <color indexed="64"/>
        </top>
        <bottom style="dotted">
          <color indexed="64"/>
        </bottom>
      </border>
      <protection locked="1" hidden="0"/>
    </dxf>
    <dxf>
      <numFmt numFmtId="2" formatCode="0.00"/>
      <fill>
        <patternFill patternType="solid">
          <fgColor indexed="64"/>
          <bgColor theme="6" tint="0.39997558519241921"/>
        </patternFill>
      </fill>
      <border diagonalUp="0" diagonalDown="0">
        <left style="thin">
          <color indexed="64"/>
        </left>
        <right style="thin">
          <color indexed="64"/>
        </right>
        <top style="dotted">
          <color indexed="64"/>
        </top>
        <bottom style="dotted">
          <color indexed="64"/>
        </bottom>
        <vertical/>
        <horizontal/>
      </border>
      <protection locked="1" hidden="0"/>
    </dxf>
    <dxf>
      <fill>
        <patternFill patternType="solid">
          <fgColor indexed="64"/>
          <bgColor rgb="FFF3F5AB"/>
        </patternFill>
      </fill>
      <border diagonalUp="0" diagonalDown="0">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6" tint="0.39997558519241921"/>
        </patternFill>
      </fill>
      <border diagonalUp="0" diagonalDown="0" outline="0">
        <left style="thin">
          <color indexed="64"/>
        </left>
        <right style="medium">
          <color indexed="64"/>
        </right>
        <top style="dotted">
          <color indexed="64"/>
        </top>
        <bottom style="dotted">
          <color indexed="64"/>
        </bottom>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6" tint="0.39997558519241921"/>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1"/>
        <color theme="1"/>
        <name val="Century Gothic"/>
        <scheme val="minor"/>
      </font>
      <numFmt numFmtId="167" formatCode="_-&quot;$&quot;* #,##0_-;\-&quot;$&quot;* #,##0_-;_-&quot;$&quot;* &quot;-&quot;??_-;_-@_-"/>
      <fill>
        <patternFill patternType="solid">
          <fgColor indexed="64"/>
          <bgColor theme="6" tint="0.39997558519241921"/>
        </patternFill>
      </fill>
      <border diagonalUp="0" diagonalDown="0">
        <left style="medium">
          <color indexed="64"/>
        </left>
        <right style="thin">
          <color indexed="64"/>
        </right>
        <top style="dotted">
          <color indexed="64"/>
        </top>
        <bottom style="dotted">
          <color indexed="64"/>
        </bottom>
        <vertical/>
        <horizontal/>
      </border>
      <protection locked="0" hidden="0"/>
    </dxf>
    <dxf>
      <numFmt numFmtId="169" formatCode="&quot;$&quot;#,##0"/>
      <fill>
        <patternFill patternType="solid">
          <fgColor indexed="64"/>
          <bgColor theme="6" tint="0.39997558519241921"/>
        </patternFill>
      </fill>
      <border diagonalUp="0" diagonalDown="0">
        <left style="medium">
          <color indexed="64"/>
        </left>
        <right style="medium">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medium">
          <color indexed="64"/>
        </left>
        <right style="thin">
          <color indexed="64"/>
        </right>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style="thin">
          <color indexed="64"/>
        </left>
        <right style="thin">
          <color indexed="64"/>
        </right>
        <top style="dotted">
          <color indexed="64"/>
        </top>
        <bottom style="dotted">
          <color indexed="64"/>
        </bottom>
        <vertical/>
        <horizontal/>
      </border>
      <protection locked="0" hidden="0"/>
    </dxf>
    <dxf>
      <fill>
        <patternFill patternType="solid">
          <fgColor indexed="64"/>
          <bgColor rgb="FFF3F5AB"/>
        </patternFill>
      </fill>
      <border diagonalUp="0" diagonalDown="0">
        <left/>
        <right style="thin">
          <color indexed="64"/>
        </right>
        <top style="dotted">
          <color indexed="64"/>
        </top>
        <bottom style="dotted">
          <color indexed="64"/>
        </bottom>
        <vertical/>
        <horizontal/>
      </border>
      <protection locked="0" hidden="0"/>
    </dxf>
    <dxf>
      <border outline="0">
        <left style="medium">
          <color indexed="64"/>
        </left>
        <right style="medium">
          <color indexed="64"/>
        </right>
        <top style="medium">
          <color indexed="64"/>
        </top>
        <bottom style="dotted">
          <color indexed="64"/>
        </bottom>
      </border>
    </dxf>
    <dxf>
      <border outline="0">
        <bottom style="medium">
          <color indexed="64"/>
        </bottom>
      </border>
    </dxf>
    <dxf>
      <font>
        <b/>
        <i val="0"/>
        <strike val="0"/>
        <condense val="0"/>
        <extend val="0"/>
        <outline val="0"/>
        <shadow val="0"/>
        <u val="none"/>
        <vertAlign val="baseline"/>
        <sz val="11"/>
        <color auto="1"/>
        <name val="Century Gothic"/>
        <family val="2"/>
        <scheme val="minor"/>
      </font>
      <fill>
        <patternFill patternType="solid">
          <fgColor indexed="64"/>
          <bgColor theme="3" tint="0.39997558519241921"/>
        </patternFill>
      </fill>
      <alignment horizontal="center" vertical="bottom" textRotation="90" wrapText="0" indent="0" justifyLastLine="0" shrinkToFit="0" readingOrder="0"/>
    </dxf>
  </dxfs>
  <tableStyles count="0" defaultTableStyle="TableStyleMedium2" defaultPivotStyle="PivotStyleLight16"/>
  <colors>
    <mruColors>
      <color rgb="FFFFFFFF"/>
      <color rgb="FFF8F8F8"/>
      <color rgb="FFF3F5AB"/>
      <color rgb="FFFA3D2E"/>
      <color rgb="FFD91334"/>
      <color rgb="FFF62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155236</xdr:colOff>
      <xdr:row>14</xdr:row>
      <xdr:rowOff>392230</xdr:rowOff>
    </xdr:from>
    <xdr:to>
      <xdr:col>6</xdr:col>
      <xdr:colOff>515276</xdr:colOff>
      <xdr:row>17</xdr:row>
      <xdr:rowOff>72541</xdr:rowOff>
    </xdr:to>
    <xdr:sp macro="" textlink="">
      <xdr:nvSpPr>
        <xdr:cNvPr id="24" name="Right Arrow 23">
          <a:extLst>
            <a:ext uri="{FF2B5EF4-FFF2-40B4-BE49-F238E27FC236}">
              <a16:creationId xmlns:a16="http://schemas.microsoft.com/office/drawing/2014/main" id="{00000000-0008-0000-0000-000018000000}"/>
            </a:ext>
          </a:extLst>
        </xdr:cNvPr>
        <xdr:cNvSpPr/>
      </xdr:nvSpPr>
      <xdr:spPr>
        <a:xfrm>
          <a:off x="4007569" y="4075230"/>
          <a:ext cx="360040" cy="10180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143842</xdr:colOff>
      <xdr:row>14</xdr:row>
      <xdr:rowOff>257801</xdr:rowOff>
    </xdr:from>
    <xdr:to>
      <xdr:col>11</xdr:col>
      <xdr:colOff>501501</xdr:colOff>
      <xdr:row>17</xdr:row>
      <xdr:rowOff>165388</xdr:rowOff>
    </xdr:to>
    <xdr:sp macro="" textlink="">
      <xdr:nvSpPr>
        <xdr:cNvPr id="25" name="Right Arrow 24">
          <a:extLst>
            <a:ext uri="{FF2B5EF4-FFF2-40B4-BE49-F238E27FC236}">
              <a16:creationId xmlns:a16="http://schemas.microsoft.com/office/drawing/2014/main" id="{00000000-0008-0000-0000-000019000000}"/>
            </a:ext>
          </a:extLst>
        </xdr:cNvPr>
        <xdr:cNvSpPr/>
      </xdr:nvSpPr>
      <xdr:spPr>
        <a:xfrm>
          <a:off x="7662242" y="3940801"/>
          <a:ext cx="357659" cy="1245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C8C7B5-B02B-4F8F-B674-3582F72F16A2}" name="Table156" displayName="Table156" ref="B10:P92" totalsRowShown="0" headerRowDxfId="52" headerRowBorderDxfId="51" tableBorderDxfId="50">
  <tableColumns count="15">
    <tableColumn id="1" xr3:uid="{C090A32B-C82A-4AC2-B509-2CE970841303}" name="Asset ID" dataDxfId="49"/>
    <tableColumn id="2" xr3:uid="{6E1AFD39-8E2F-4BA1-9AC3-8708BE9FE632}" name="LGIP ID" dataDxfId="48"/>
    <tableColumn id="3" xr3:uid="{D6AA6BC6-DC96-4B33-ABB0-26B2A85AF08B}" name="Asset Class" dataDxfId="47"/>
    <tableColumn id="4" xr3:uid="{993B9E35-FA90-4DC9-9903-F0B320BD71F0}" name="Service Catchment" dataDxfId="46"/>
    <tableColumn id="5" xr3:uid="{61F95404-6121-4D2B-A5AA-AE36B424AACF}" name="Description" dataDxfId="45"/>
    <tableColumn id="6" xr3:uid="{4E8F0D62-5844-4789-BD5A-48D64A231EFA}" name="Utility allowance ($56,000/site)" dataDxfId="44"/>
    <tableColumn id="7" xr3:uid="{BE9AD2A9-9867-4021-9295-4B55C73A4249}" name="Area size (m2)" dataDxfId="43"/>
    <tableColumn id="8" xr3:uid="{A6239F0F-54C6-476A-9939-D139C8A08607}" name="Construction Unit Rate ($/m)" dataDxfId="42">
      <calculatedColumnFormula>IFERROR(J11/H11,0)</calculatedColumnFormula>
    </tableColumn>
    <tableColumn id="9" xr3:uid="{B04AC895-4666-4CDF-9DD9-2AADE7111625}" name="Construction Cost" dataDxfId="41" dataCellStyle="Currency"/>
    <tableColumn id="14" xr3:uid="{6082A75B-2069-4A26-875C-9E501808E49B}" name="Size of land (m2) (*)" dataDxfId="40"/>
    <tableColumn id="15" xr3:uid="{F9CBC566-9A78-495A-B6B9-B04FDE1C8EC5}" name="Land Unit Rate ($/m2)" dataDxfId="39" dataCellStyle="Currency"/>
    <tableColumn id="16" xr3:uid="{8DD13F42-D451-4033-89B4-678B648FD7C6}" name="Land Value" dataDxfId="38" dataCellStyle="Currency"/>
    <tableColumn id="17" xr3:uid="{35675BC1-A7D4-49FF-84C1-0AEE37F6776F}" name="Valuation Year" dataDxfId="37"/>
    <tableColumn id="18" xr3:uid="{D45ADD70-0D85-471E-9506-2536934B7608}" name="Escalation" dataDxfId="36">
      <calculatedColumnFormula>IFERROR(('General Input Sheet'!$G$38/(VLOOKUP(N11,'General Input Sheet'!$E$38:$G$48,3,FALSE))),1)</calculatedColumnFormula>
    </tableColumn>
    <tableColumn id="19" xr3:uid="{C0D6D3AF-C468-41E1-A1CC-888CEC194922}" name="Current Repalcement Cost" dataDxfId="35" dataCellStyle="Currency">
      <calculatedColumnFormula>J11+M11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FutureTrunkParks" displayName="FutureTrunkParks" ref="B13:AB27" totalsRowShown="0" headerRowDxfId="34" headerRowBorderDxfId="33" tableBorderDxfId="32" headerRowCellStyle="Currency">
  <sortState xmlns:xlrd2="http://schemas.microsoft.com/office/spreadsheetml/2017/richdata2" ref="B15:AB27">
    <sortCondition ref="C13:C27"/>
  </sortState>
  <tableColumns count="27">
    <tableColumn id="1" xr3:uid="{00000000-0010-0000-0100-000001000000}" name="Asset ID" dataDxfId="31"/>
    <tableColumn id="2" xr3:uid="{00000000-0010-0000-0100-000002000000}" name="LGIP ID" dataDxfId="30"/>
    <tableColumn id="3" xr3:uid="{00000000-0010-0000-0100-000003000000}" name="Hierarchy/Name" dataDxfId="29"/>
    <tableColumn id="4" xr3:uid="{00000000-0010-0000-0100-000004000000}" name="Service Catchment" dataDxfId="28"/>
    <tableColumn id="5" xr3:uid="{00000000-0010-0000-0100-000005000000}" name="Description" dataDxfId="27"/>
    <tableColumn id="9" xr3:uid="{00000000-0010-0000-0100-000009000000}" name="Land Location/Type" dataDxfId="26"/>
    <tableColumn id="10" xr3:uid="{00000000-0010-0000-0100-00000A000000}" name="Size of Land (m2)" dataDxfId="25" dataCellStyle="Comma"/>
    <tableColumn id="11" xr3:uid="{00000000-0010-0000-0100-00000B000000}" name="Land Unit Rate ($/m2)" dataDxfId="24" dataCellStyle="Currency">
      <calculatedColumnFormula>IF(G14="",[0]!LandCst,IF($D$9="Landuse",VLOOKUP(G14,LAndcost3,2,FALSE),IF($D$9="Location",VLOOKUP(G14,Landcost2,2,FALSE),"Error")))</calculatedColumnFormula>
    </tableColumn>
    <tableColumn id="12" xr3:uid="{00000000-0010-0000-0100-00000C000000}" name="Land Value" dataDxfId="23" dataCellStyle="Currency"/>
    <tableColumn id="14" xr3:uid="{00000000-0010-0000-0100-00000E000000}" name="Direct Construction Cost" dataDxfId="22" dataCellStyle="Currency"/>
    <tableColumn id="15" xr3:uid="{00000000-0010-0000-0100-00000F000000}" name="Valuation Year" dataDxfId="21"/>
    <tableColumn id="18" xr3:uid="{00000000-0010-0000-0100-000012000000}" name="Multiplier" dataDxfId="20"/>
    <tableColumn id="19" xr3:uid="{00000000-0010-0000-0100-000013000000}" name="Construction Contingency Rate %" dataDxfId="19" dataCellStyle="Currency"/>
    <tableColumn id="6" xr3:uid="{7E0838E0-E037-4627-B445-CF699480F50D}" name="Construction Contingency Cost ($)" dataDxfId="18" dataCellStyle="Currency">
      <calculatedColumnFormula>ROUND((K14+P14)*N14,0)</calculatedColumnFormula>
    </tableColumn>
    <tableColumn id="20" xr3:uid="{00000000-0010-0000-0100-000014000000}" name="Project Owners Cost (23% Direct Construction Cost)($)" dataDxfId="17" dataCellStyle="Currency"/>
    <tableColumn id="21" xr3:uid="{00000000-0010-0000-0100-000015000000}" name="Total Construction Cost ($)" dataDxfId="16" dataCellStyle="Currency"/>
    <tableColumn id="22" xr3:uid="{00000000-0010-0000-0100-000016000000}" name="Year of Provision" dataDxfId="15"/>
    <tableColumn id="23" xr3:uid="{00000000-0010-0000-0100-000017000000}" name="Land Cost Escalation" dataDxfId="14"/>
    <tableColumn id="24" xr3:uid="{00000000-0010-0000-0100-000018000000}" name="Work Cost Escalation" dataDxfId="13"/>
    <tableColumn id="36" xr3:uid="{5B96D05A-2351-4805-8349-88A10968DA77}" name="Spare Capacity (%)" dataDxfId="12" dataCellStyle="Percent">
      <calculatedColumnFormula>IFERROR(IF(FutureTrunkParks[[#This Row],[Year of Provision]]&gt;2019,VLOOKUP(FutureTrunkParks[[#This Row],[Service Catchment]],'Catchment Demand - LFCF'!$C$8:$M$12,11,FALSE),""),"")</calculatedColumnFormula>
    </tableColumn>
    <tableColumn id="34" xr3:uid="{2A592156-D6DB-4AEF-8B4F-C4162D86B264}" name="Share of the total Cost with the same year of provision %" dataDxfId="11" dataCellStyle="Percent">
      <calculatedColumnFormula>FutureTrunkParks[[#This Row],[Establishment Cost]]/#REF!</calculatedColumnFormula>
    </tableColumn>
    <tableColumn id="37" xr3:uid="{5913633F-A58B-44D7-B25F-5E47AD758C90}" name="Terminal Value Analysis" dataDxfId="10" dataCellStyle="Percent">
      <calculatedColumnFormula>IF(AND(FutureTrunkParks[[#This Row],[Spare Capacity (%)]]&gt;30%,FutureTrunkParks[[#This Row],[Share of the total Cost with the same year of provision %]]&gt;20%),(1-FutureTrunkParks[[#This Row],[Spare Capacity (%)]]),1)</calculatedColumnFormula>
    </tableColumn>
    <tableColumn id="28" xr3:uid="{00000000-0010-0000-0100-00001C000000}" name="Terminal Value Adjustment (%)" dataDxfId="9"/>
    <tableColumn id="25" xr3:uid="{00000000-0010-0000-0100-000019000000}" name="Establishment Cost" dataDxfId="8" dataCellStyle="Currency"/>
    <tableColumn id="26" xr3:uid="{00000000-0010-0000-0100-00001A000000}" name="Establishment Cost (Escalated)" dataDxfId="7" dataCellStyle="Currency"/>
    <tableColumn id="27" xr3:uid="{00000000-0010-0000-0100-00001B000000}" name="Net Present Value of Establishment Cost" dataDxfId="6" dataCellStyle="Currency"/>
    <tableColumn id="30" xr3:uid="{0C6D07AF-D9B0-4093-8762-9E13FB67C99F}" name="NPV Establishment Cost after Terminal Value Adjustment" dataDxfId="5" dataCellStyle="Currency"/>
  </tableColumns>
  <tableStyleInfo name="TableStyleMedium9" showFirstColumn="0" showLastColumn="0" showRowStripes="1" showColumnStripes="0"/>
</table>
</file>

<file path=xl/theme/theme1.xml><?xml version="1.0" encoding="utf-8"?>
<a:theme xmlns:a="http://schemas.openxmlformats.org/drawingml/2006/main" name="Sl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fitToPage="1"/>
  </sheetPr>
  <dimension ref="B2:S28"/>
  <sheetViews>
    <sheetView tabSelected="1" zoomScale="70" zoomScaleNormal="70" workbookViewId="0"/>
  </sheetViews>
  <sheetFormatPr defaultColWidth="9" defaultRowHeight="16.5"/>
  <cols>
    <col min="1" max="1" width="3.25" style="18" customWidth="1"/>
    <col min="2" max="2" width="3.5" style="18" customWidth="1"/>
    <col min="3" max="3" width="22.25" style="18" customWidth="1"/>
    <col min="4" max="5" width="9" style="18"/>
    <col min="6" max="6" width="6.5" style="18" customWidth="1"/>
    <col min="7" max="7" width="8.5" style="18" customWidth="1"/>
    <col min="8" max="8" width="7.25" style="18" customWidth="1"/>
    <col min="9" max="9" width="11.25" style="18" customWidth="1"/>
    <col min="10" max="10" width="9" style="18"/>
    <col min="11" max="11" width="12.625" style="18" customWidth="1"/>
    <col min="12" max="12" width="8.75" style="18" customWidth="1"/>
    <col min="13" max="15" width="9" style="18"/>
    <col min="16" max="16" width="19.5" style="18" customWidth="1"/>
    <col min="17" max="16384" width="9" style="18"/>
  </cols>
  <sheetData>
    <row r="2" spans="2:18" s="256" customFormat="1" ht="19.5" thickBot="1">
      <c r="B2" s="321" t="s">
        <v>102</v>
      </c>
      <c r="C2" s="321"/>
      <c r="D2" s="321"/>
      <c r="E2" s="321"/>
      <c r="F2" s="321"/>
      <c r="G2" s="321"/>
      <c r="H2" s="321"/>
      <c r="I2" s="321"/>
      <c r="J2" s="321"/>
      <c r="K2" s="321"/>
      <c r="L2" s="321"/>
      <c r="M2" s="321"/>
      <c r="N2" s="321"/>
      <c r="O2" s="321"/>
      <c r="P2" s="321"/>
    </row>
    <row r="3" spans="2:18" s="256" customFormat="1" ht="20.25" thickTop="1" thickBot="1">
      <c r="B3" s="322" t="s">
        <v>101</v>
      </c>
      <c r="C3" s="322"/>
      <c r="D3" s="322"/>
      <c r="E3" s="322"/>
      <c r="F3" s="322"/>
      <c r="G3" s="322"/>
      <c r="H3" s="322"/>
      <c r="I3" s="322"/>
      <c r="J3" s="322"/>
      <c r="K3" s="322"/>
      <c r="L3" s="322"/>
      <c r="M3" s="322"/>
      <c r="N3" s="322"/>
      <c r="O3" s="322"/>
      <c r="P3" s="322"/>
    </row>
    <row r="4" spans="2:18" ht="26.25" thickTop="1">
      <c r="B4" s="19"/>
      <c r="F4" s="323"/>
      <c r="G4" s="323"/>
    </row>
    <row r="5" spans="2:18" ht="8.25" customHeight="1"/>
    <row r="6" spans="2:18">
      <c r="B6" s="20" t="s">
        <v>0</v>
      </c>
      <c r="C6" s="20"/>
      <c r="D6" s="21">
        <v>2</v>
      </c>
      <c r="E6" s="20"/>
      <c r="F6" s="20" t="s">
        <v>1</v>
      </c>
      <c r="G6" s="148">
        <v>45835</v>
      </c>
      <c r="J6" s="20" t="s">
        <v>91</v>
      </c>
      <c r="K6" s="22" t="s">
        <v>141</v>
      </c>
      <c r="Q6" s="18" t="s">
        <v>43</v>
      </c>
    </row>
    <row r="7" spans="2:18" ht="6" customHeight="1">
      <c r="B7" s="20"/>
      <c r="C7" s="20"/>
      <c r="D7" s="20"/>
      <c r="E7" s="20"/>
      <c r="F7" s="20"/>
      <c r="G7" s="20"/>
      <c r="H7" s="20"/>
      <c r="I7" s="20"/>
      <c r="J7" s="20"/>
    </row>
    <row r="8" spans="2:18">
      <c r="B8" s="20" t="s">
        <v>2</v>
      </c>
      <c r="C8" s="23"/>
      <c r="D8" s="350" t="s">
        <v>387</v>
      </c>
      <c r="E8" s="351"/>
      <c r="F8" s="351"/>
      <c r="G8" s="351"/>
      <c r="H8" s="351"/>
      <c r="I8" s="351"/>
      <c r="J8" s="351"/>
      <c r="K8" s="351"/>
      <c r="L8" s="351"/>
      <c r="M8" s="351"/>
      <c r="N8" s="351"/>
      <c r="O8" s="351"/>
      <c r="P8" s="352"/>
    </row>
    <row r="9" spans="2:18">
      <c r="C9" s="23"/>
      <c r="D9" s="353"/>
      <c r="E9" s="354"/>
      <c r="F9" s="354"/>
      <c r="G9" s="354"/>
      <c r="H9" s="354"/>
      <c r="I9" s="354"/>
      <c r="J9" s="354"/>
      <c r="K9" s="354"/>
      <c r="L9" s="354"/>
      <c r="M9" s="354"/>
      <c r="N9" s="354"/>
      <c r="O9" s="354"/>
      <c r="P9" s="355"/>
    </row>
    <row r="10" spans="2:18" ht="49.9" customHeight="1">
      <c r="B10" s="20"/>
      <c r="D10" s="339" t="s">
        <v>83</v>
      </c>
      <c r="E10" s="339"/>
      <c r="F10" s="27"/>
      <c r="G10" s="27"/>
      <c r="H10" s="27"/>
      <c r="I10" s="339" t="s">
        <v>84</v>
      </c>
      <c r="J10" s="339"/>
      <c r="K10" s="27"/>
      <c r="L10" s="27"/>
      <c r="M10" s="27"/>
      <c r="N10" s="339" t="s">
        <v>85</v>
      </c>
      <c r="O10" s="339"/>
    </row>
    <row r="11" spans="2:18" ht="9" customHeight="1">
      <c r="B11" s="20"/>
    </row>
    <row r="12" spans="2:18" ht="22.5">
      <c r="C12" s="340" t="s">
        <v>5</v>
      </c>
      <c r="D12" s="341"/>
      <c r="E12" s="341"/>
      <c r="F12" s="342"/>
      <c r="H12" s="324" t="s">
        <v>82</v>
      </c>
      <c r="I12" s="325"/>
      <c r="J12" s="325"/>
      <c r="K12" s="326"/>
      <c r="M12" s="336" t="s">
        <v>80</v>
      </c>
      <c r="N12" s="337"/>
      <c r="O12" s="337"/>
      <c r="P12" s="338"/>
      <c r="R12" s="18" t="s">
        <v>43</v>
      </c>
    </row>
    <row r="13" spans="2:18" ht="47.25" customHeight="1">
      <c r="C13" s="343" t="s">
        <v>29</v>
      </c>
      <c r="D13" s="344"/>
      <c r="E13" s="344"/>
      <c r="F13" s="345"/>
      <c r="H13" s="327" t="s">
        <v>114</v>
      </c>
      <c r="I13" s="328"/>
      <c r="J13" s="328"/>
      <c r="K13" s="329"/>
      <c r="M13" s="349" t="s">
        <v>86</v>
      </c>
      <c r="N13" s="344"/>
      <c r="O13" s="344"/>
      <c r="P13" s="345"/>
      <c r="R13" s="18" t="s">
        <v>43</v>
      </c>
    </row>
    <row r="14" spans="2:18" ht="24" customHeight="1">
      <c r="H14" s="330"/>
      <c r="I14" s="331"/>
      <c r="J14" s="331"/>
      <c r="K14" s="332"/>
    </row>
    <row r="15" spans="2:18" ht="41.65" customHeight="1">
      <c r="B15"/>
      <c r="C15" s="346" t="s">
        <v>381</v>
      </c>
      <c r="D15" s="347"/>
      <c r="E15" s="347"/>
      <c r="F15" s="348"/>
      <c r="H15" s="330"/>
      <c r="I15" s="331"/>
      <c r="J15" s="331"/>
      <c r="K15" s="332"/>
      <c r="M15" s="336" t="s">
        <v>28</v>
      </c>
      <c r="N15" s="337"/>
      <c r="O15" s="337"/>
      <c r="P15" s="338"/>
    </row>
    <row r="16" spans="2:18" ht="48.75" customHeight="1">
      <c r="C16" s="343" t="s">
        <v>4</v>
      </c>
      <c r="D16" s="344"/>
      <c r="E16" s="344"/>
      <c r="F16" s="345"/>
      <c r="H16" s="330"/>
      <c r="I16" s="331"/>
      <c r="J16" s="331"/>
      <c r="K16" s="332"/>
      <c r="M16" s="356" t="s">
        <v>140</v>
      </c>
      <c r="N16" s="357"/>
      <c r="O16" s="357"/>
      <c r="P16" s="358"/>
    </row>
    <row r="17" spans="2:19" ht="15" customHeight="1">
      <c r="H17" s="330"/>
      <c r="I17" s="331"/>
      <c r="J17" s="331"/>
      <c r="K17" s="332"/>
      <c r="M17" s="24"/>
      <c r="N17" s="24"/>
      <c r="O17" s="24"/>
      <c r="P17" s="24"/>
    </row>
    <row r="18" spans="2:19" ht="23.25" customHeight="1">
      <c r="C18" s="346" t="s">
        <v>382</v>
      </c>
      <c r="D18" s="347"/>
      <c r="E18" s="347"/>
      <c r="F18" s="348"/>
      <c r="H18" s="330"/>
      <c r="I18" s="331"/>
      <c r="J18" s="331"/>
      <c r="K18" s="332"/>
    </row>
    <row r="19" spans="2:19" ht="36.75" customHeight="1">
      <c r="C19" s="349" t="s">
        <v>81</v>
      </c>
      <c r="D19" s="344"/>
      <c r="E19" s="344"/>
      <c r="F19" s="345"/>
      <c r="H19" s="330"/>
      <c r="I19" s="331"/>
      <c r="J19" s="331"/>
      <c r="K19" s="332"/>
      <c r="R19" s="18" t="s">
        <v>43</v>
      </c>
    </row>
    <row r="20" spans="2:19">
      <c r="H20" s="330"/>
      <c r="I20" s="331"/>
      <c r="J20" s="331"/>
      <c r="K20" s="332"/>
    </row>
    <row r="21" spans="2:19" ht="22.5">
      <c r="C21" s="340" t="s">
        <v>3</v>
      </c>
      <c r="D21" s="341"/>
      <c r="E21" s="341"/>
      <c r="F21" s="342"/>
      <c r="H21" s="330"/>
      <c r="I21" s="331"/>
      <c r="J21" s="331"/>
      <c r="K21" s="332"/>
    </row>
    <row r="22" spans="2:19" ht="31.5" customHeight="1">
      <c r="C22" s="362" t="s">
        <v>383</v>
      </c>
      <c r="D22" s="363"/>
      <c r="E22" s="363"/>
      <c r="F22" s="364"/>
      <c r="H22" s="330"/>
      <c r="I22" s="331"/>
      <c r="J22" s="331"/>
      <c r="K22" s="332"/>
    </row>
    <row r="23" spans="2:19" ht="33.75" customHeight="1">
      <c r="C23" s="359" t="s">
        <v>384</v>
      </c>
      <c r="D23" s="360"/>
      <c r="E23" s="360"/>
      <c r="F23" s="361"/>
      <c r="H23" s="333"/>
      <c r="I23" s="334"/>
      <c r="J23" s="334"/>
      <c r="K23" s="335"/>
    </row>
    <row r="24" spans="2:19" ht="15" customHeight="1">
      <c r="M24" s="25"/>
      <c r="N24" s="25"/>
      <c r="O24" s="25"/>
      <c r="P24" s="25"/>
    </row>
    <row r="28" spans="2:19">
      <c r="B28" s="20"/>
      <c r="S28" s="26"/>
    </row>
  </sheetData>
  <mergeCells count="22">
    <mergeCell ref="C18:F18"/>
    <mergeCell ref="M15:P15"/>
    <mergeCell ref="C23:F23"/>
    <mergeCell ref="C22:F22"/>
    <mergeCell ref="C19:F19"/>
    <mergeCell ref="C21:F21"/>
    <mergeCell ref="B2:P2"/>
    <mergeCell ref="B3:P3"/>
    <mergeCell ref="F4:G4"/>
    <mergeCell ref="H12:K12"/>
    <mergeCell ref="H13:K23"/>
    <mergeCell ref="M12:P12"/>
    <mergeCell ref="D10:E10"/>
    <mergeCell ref="I10:J10"/>
    <mergeCell ref="N10:O10"/>
    <mergeCell ref="C12:F12"/>
    <mergeCell ref="C13:F13"/>
    <mergeCell ref="C15:F15"/>
    <mergeCell ref="C16:F16"/>
    <mergeCell ref="M13:P13"/>
    <mergeCell ref="D8:P9"/>
    <mergeCell ref="M16:P16"/>
  </mergeCells>
  <hyperlinks>
    <hyperlink ref="C12" location="'General Input Sheet'!A1" display="Generl Input Sheet" xr:uid="{00000000-0004-0000-0000-000000000000}"/>
    <hyperlink ref="M12:P12" location="'Summary Cost Schedule'!A1" display="Summary Cost Schedule" xr:uid="{00000000-0004-0000-0000-000001000000}"/>
  </hyperlinks>
  <pageMargins left="0.23622047244094491" right="0.23622047244094491" top="0.74803149606299213" bottom="0.74803149606299213" header="0.31496062992125984" footer="0.31496062992125984"/>
  <pageSetup paperSize="9" scale="83"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G394"/>
  <sheetViews>
    <sheetView zoomScale="70" zoomScaleNormal="70" zoomScalePageLayoutView="70" workbookViewId="0"/>
  </sheetViews>
  <sheetFormatPr defaultColWidth="9" defaultRowHeight="16.5"/>
  <cols>
    <col min="2" max="2" width="5.25" customWidth="1"/>
    <col min="3" max="3" width="53.75" customWidth="1"/>
    <col min="4" max="4" width="3.5" customWidth="1"/>
    <col min="5" max="5" width="15" bestFit="1" customWidth="1"/>
    <col min="6" max="6" width="3.25" customWidth="1"/>
    <col min="7" max="7" width="10.75" customWidth="1"/>
    <col min="8" max="8" width="2" customWidth="1"/>
    <col min="9" max="9" width="56.25" customWidth="1"/>
    <col min="11" max="12" width="1.125" customWidth="1"/>
  </cols>
  <sheetData>
    <row r="1" spans="1:59">
      <c r="A1" s="149"/>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row>
    <row r="2" spans="1:59" ht="26.25">
      <c r="A2" s="149"/>
      <c r="B2" s="365" t="str">
        <f>'Navigation Pane'!B2</f>
        <v>Brisbane City Council</v>
      </c>
      <c r="C2" s="365"/>
      <c r="D2" s="365"/>
      <c r="E2" s="365"/>
      <c r="F2" s="365"/>
      <c r="G2" s="365"/>
      <c r="H2" s="365"/>
      <c r="I2" s="365"/>
      <c r="J2" s="365"/>
      <c r="K2" s="365"/>
      <c r="L2" s="365"/>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row>
    <row r="3" spans="1:59">
      <c r="A3" s="171"/>
      <c r="B3" s="171" t="s">
        <v>49</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row>
    <row r="4" spans="1:59" ht="22.5">
      <c r="A4" s="149"/>
      <c r="B4" s="366" t="s">
        <v>5</v>
      </c>
      <c r="C4" s="366"/>
      <c r="D4" s="366"/>
      <c r="E4" s="366"/>
      <c r="F4" s="366"/>
      <c r="G4" s="366"/>
      <c r="H4" s="366"/>
      <c r="I4" s="366"/>
      <c r="J4" s="366"/>
      <c r="K4" s="366"/>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row>
    <row r="5" spans="1:59" ht="17.25" thickBot="1">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row>
    <row r="6" spans="1:59" ht="17.25" thickBot="1">
      <c r="A6" s="149"/>
      <c r="B6" s="370" t="s">
        <v>6</v>
      </c>
      <c r="C6" s="371"/>
      <c r="D6" s="149"/>
      <c r="E6" s="172" t="s">
        <v>9</v>
      </c>
      <c r="F6" s="172"/>
      <c r="G6" s="172" t="s">
        <v>10</v>
      </c>
      <c r="H6" s="172"/>
      <c r="I6" s="172" t="s">
        <v>2</v>
      </c>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row>
    <row r="7" spans="1:59" ht="5.0999999999999996" customHeight="1" thickBot="1">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row>
    <row r="8" spans="1:59" ht="17.25" thickBot="1">
      <c r="A8" s="149"/>
      <c r="B8" s="149"/>
      <c r="C8" s="173" t="s">
        <v>7</v>
      </c>
      <c r="D8" s="149"/>
      <c r="E8" s="174" t="s">
        <v>8</v>
      </c>
      <c r="F8" s="149"/>
      <c r="G8" s="175">
        <v>2021</v>
      </c>
      <c r="H8" s="149"/>
      <c r="I8" s="176"/>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row>
    <row r="9" spans="1:59" ht="7.35" customHeight="1" thickBot="1">
      <c r="A9" s="149"/>
      <c r="B9" s="149"/>
      <c r="C9" s="149"/>
      <c r="D9" s="149"/>
      <c r="E9" s="149"/>
      <c r="F9" s="149"/>
      <c r="G9" s="177">
        <f>YEAR</f>
        <v>2021</v>
      </c>
      <c r="H9" s="149"/>
      <c r="I9" s="178"/>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row>
    <row r="10" spans="1:59" ht="17.25" thickBot="1">
      <c r="A10" s="149"/>
      <c r="B10" s="149"/>
      <c r="C10" s="173" t="s">
        <v>88</v>
      </c>
      <c r="D10" s="149"/>
      <c r="E10" s="174" t="s">
        <v>89</v>
      </c>
      <c r="F10" s="149"/>
      <c r="G10" s="175">
        <v>15</v>
      </c>
      <c r="H10" s="149"/>
      <c r="I10" s="176"/>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row>
    <row r="11" spans="1:59" ht="5.0999999999999996" customHeight="1" thickBot="1">
      <c r="A11" s="149"/>
      <c r="B11" s="149"/>
      <c r="C11" s="149"/>
      <c r="D11" s="149"/>
      <c r="E11" s="149"/>
      <c r="F11" s="149"/>
      <c r="G11" s="149"/>
      <c r="H11" s="149"/>
      <c r="I11" s="178"/>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row>
    <row r="12" spans="1:59" ht="17.25" thickBot="1">
      <c r="A12" s="149"/>
      <c r="B12" s="370" t="s">
        <v>54</v>
      </c>
      <c r="C12" s="371"/>
      <c r="D12" s="149"/>
      <c r="E12" s="149"/>
      <c r="F12" s="149"/>
      <c r="G12" s="149"/>
      <c r="H12" s="149"/>
      <c r="I12" s="178"/>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row>
    <row r="13" spans="1:59" ht="5.0999999999999996" customHeight="1" thickBot="1">
      <c r="A13" s="149"/>
      <c r="B13" s="149"/>
      <c r="C13" s="149" t="s">
        <v>43</v>
      </c>
      <c r="D13" s="149"/>
      <c r="E13" s="149"/>
      <c r="F13" s="149"/>
      <c r="G13" s="149"/>
      <c r="H13" s="149"/>
      <c r="I13" s="178"/>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row>
    <row r="14" spans="1:59" ht="17.25" thickBot="1">
      <c r="A14" s="149"/>
      <c r="B14" s="149"/>
      <c r="C14" s="173" t="s">
        <v>55</v>
      </c>
      <c r="D14" s="149"/>
      <c r="E14" s="174" t="s">
        <v>52</v>
      </c>
      <c r="F14" s="149"/>
      <c r="G14" s="175" t="s">
        <v>50</v>
      </c>
      <c r="H14" s="149"/>
      <c r="I14" s="176"/>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row>
    <row r="15" spans="1:59" ht="5.0999999999999996" customHeight="1" thickBot="1">
      <c r="A15" s="149"/>
      <c r="B15" s="149"/>
      <c r="C15" s="149"/>
      <c r="D15" s="149"/>
      <c r="E15" s="149"/>
      <c r="F15" s="149"/>
      <c r="G15" s="149"/>
      <c r="H15" s="149"/>
      <c r="I15" s="178"/>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row>
    <row r="16" spans="1:59" ht="17.25" thickBot="1">
      <c r="A16" s="149"/>
      <c r="B16" s="370" t="s">
        <v>31</v>
      </c>
      <c r="C16" s="371"/>
      <c r="D16" s="149"/>
      <c r="E16" s="149"/>
      <c r="F16" s="149"/>
      <c r="G16" s="149"/>
      <c r="H16" s="149"/>
      <c r="I16" s="178"/>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row>
    <row r="17" spans="1:59" ht="5.0999999999999996" customHeight="1">
      <c r="A17" s="149"/>
      <c r="B17" s="149"/>
      <c r="C17" s="149"/>
      <c r="D17" s="149"/>
      <c r="E17" s="149"/>
      <c r="F17" s="149"/>
      <c r="G17" s="149"/>
      <c r="H17" s="149"/>
      <c r="I17" s="178"/>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row>
    <row r="18" spans="1:59" ht="17.25" thickBot="1">
      <c r="A18" s="149"/>
      <c r="B18" s="179" t="s">
        <v>11</v>
      </c>
      <c r="C18" s="149"/>
      <c r="D18" s="149"/>
      <c r="E18" s="149"/>
      <c r="F18" s="149"/>
      <c r="G18" s="149"/>
      <c r="H18" s="149"/>
      <c r="I18" s="178"/>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row>
    <row r="19" spans="1:59" ht="15.75" customHeight="1" thickBot="1">
      <c r="A19" s="149"/>
      <c r="B19" s="149"/>
      <c r="C19" s="173" t="s">
        <v>12</v>
      </c>
      <c r="D19" s="149"/>
      <c r="E19" s="174" t="s">
        <v>40</v>
      </c>
      <c r="F19" s="149"/>
      <c r="G19" s="180"/>
      <c r="H19" s="149"/>
      <c r="I19" s="176"/>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row>
    <row r="20" spans="1:59" ht="5.0999999999999996" customHeight="1" thickBot="1">
      <c r="A20" s="149"/>
      <c r="B20" s="149"/>
      <c r="C20" s="149"/>
      <c r="D20" s="149"/>
      <c r="E20" s="149"/>
      <c r="F20" s="149"/>
      <c r="G20" s="149"/>
      <c r="H20" s="149"/>
      <c r="I20" s="178"/>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row>
    <row r="21" spans="1:59" ht="17.25" thickBot="1">
      <c r="A21" s="149"/>
      <c r="B21" s="367" t="s">
        <v>15</v>
      </c>
      <c r="C21" s="173" t="s">
        <v>32</v>
      </c>
      <c r="D21" s="181"/>
      <c r="E21" s="174" t="s">
        <v>13</v>
      </c>
      <c r="F21" s="181"/>
      <c r="G21" s="180"/>
      <c r="H21" s="149"/>
      <c r="I21" s="176" t="s">
        <v>67</v>
      </c>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row>
    <row r="22" spans="1:59" ht="17.25" thickBot="1">
      <c r="A22" s="149"/>
      <c r="B22" s="368"/>
      <c r="C22" s="182"/>
      <c r="D22" s="149"/>
      <c r="E22" s="149"/>
      <c r="F22" s="149"/>
      <c r="G22" s="183"/>
      <c r="H22" s="149"/>
      <c r="I22" s="178"/>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row>
    <row r="23" spans="1:59" ht="17.25" thickBot="1">
      <c r="A23" s="149"/>
      <c r="B23" s="369"/>
      <c r="C23" s="184" t="s">
        <v>14</v>
      </c>
      <c r="D23" s="185"/>
      <c r="E23" s="174" t="s">
        <v>16</v>
      </c>
      <c r="F23" s="185"/>
      <c r="G23" s="186">
        <v>5.91E-2</v>
      </c>
      <c r="H23" s="149"/>
      <c r="I23" s="178"/>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row>
    <row r="24" spans="1:59" ht="5.0999999999999996" customHeight="1" thickBot="1">
      <c r="A24" s="149"/>
      <c r="B24" s="149"/>
      <c r="C24" s="149"/>
      <c r="D24" s="149"/>
      <c r="E24" s="149"/>
      <c r="F24" s="149"/>
      <c r="G24" s="149"/>
      <c r="H24" s="149"/>
      <c r="I24" s="178"/>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row>
    <row r="25" spans="1:59" ht="15.75" customHeight="1" thickBot="1">
      <c r="A25" s="149"/>
      <c r="B25" s="367" t="s">
        <v>46</v>
      </c>
      <c r="C25" s="187" t="s">
        <v>18</v>
      </c>
      <c r="D25" s="181"/>
      <c r="E25" s="174" t="s">
        <v>17</v>
      </c>
      <c r="F25" s="181"/>
      <c r="G25" s="180"/>
      <c r="H25" s="149"/>
      <c r="I25" s="176"/>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row>
    <row r="26" spans="1:59" ht="17.25" thickBot="1">
      <c r="A26" s="149"/>
      <c r="B26" s="368"/>
      <c r="C26" s="187" t="s">
        <v>33</v>
      </c>
      <c r="D26" s="149"/>
      <c r="E26" s="174" t="s">
        <v>19</v>
      </c>
      <c r="F26" s="149"/>
      <c r="G26" s="188"/>
      <c r="H26" s="149"/>
      <c r="I26" s="176"/>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row>
    <row r="27" spans="1:59" ht="17.25" thickBot="1">
      <c r="A27" s="149"/>
      <c r="B27" s="368"/>
      <c r="C27" s="187" t="s">
        <v>20</v>
      </c>
      <c r="D27" s="149"/>
      <c r="E27" s="174" t="s">
        <v>21</v>
      </c>
      <c r="F27" s="149"/>
      <c r="G27" s="188"/>
      <c r="H27" s="149"/>
      <c r="I27" s="176"/>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row>
    <row r="28" spans="1:59" ht="15.75" customHeight="1" thickBot="1">
      <c r="A28" s="149"/>
      <c r="B28" s="368"/>
      <c r="C28" s="187" t="s">
        <v>22</v>
      </c>
      <c r="D28" s="149"/>
      <c r="E28" s="174" t="s">
        <v>23</v>
      </c>
      <c r="F28" s="149"/>
      <c r="G28" s="188"/>
      <c r="H28" s="149"/>
      <c r="I28" s="176"/>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row>
    <row r="29" spans="1:59" ht="17.25" thickBot="1">
      <c r="A29" s="149"/>
      <c r="B29" s="368"/>
      <c r="C29" s="149"/>
      <c r="D29" s="149"/>
      <c r="E29" s="149"/>
      <c r="F29" s="149"/>
      <c r="G29" s="183"/>
      <c r="H29" s="149"/>
      <c r="I29" s="178"/>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row>
    <row r="30" spans="1:59" ht="17.25" thickBot="1">
      <c r="A30" s="149"/>
      <c r="B30" s="369"/>
      <c r="C30" s="185" t="s">
        <v>14</v>
      </c>
      <c r="D30" s="185"/>
      <c r="E30" s="174" t="s">
        <v>24</v>
      </c>
      <c r="F30" s="185"/>
      <c r="G30" s="186">
        <v>5.91E-2</v>
      </c>
      <c r="H30" s="149"/>
      <c r="I30" s="178"/>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row>
    <row r="31" spans="1:59" ht="5.0999999999999996" customHeight="1" thickBot="1">
      <c r="A31" s="149"/>
      <c r="B31" s="189"/>
      <c r="C31" s="149"/>
      <c r="D31" s="149"/>
      <c r="E31" s="149"/>
      <c r="F31" s="149"/>
      <c r="G31" s="149"/>
      <c r="H31" s="149"/>
      <c r="I31" s="178"/>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row>
    <row r="32" spans="1:59" ht="17.25" thickBot="1">
      <c r="A32" s="149"/>
      <c r="B32" s="149"/>
      <c r="C32" s="448" t="s">
        <v>53</v>
      </c>
      <c r="D32" s="149"/>
      <c r="E32" s="188" t="s">
        <v>16</v>
      </c>
      <c r="F32" s="149"/>
      <c r="G32" s="186">
        <f>IF(G14="No",0,IF(E32="WACC1",WACC1,IF(E32="WACC2",WACC2,"Error")))</f>
        <v>5.91E-2</v>
      </c>
      <c r="H32" s="149"/>
      <c r="I32" s="178"/>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row>
    <row r="33" spans="1:59" ht="5.0999999999999996" customHeight="1">
      <c r="A33" s="149"/>
      <c r="B33" s="189"/>
      <c r="C33" s="149"/>
      <c r="D33" s="149"/>
      <c r="E33" s="149"/>
      <c r="F33" s="149"/>
      <c r="G33" s="149"/>
      <c r="H33" s="149"/>
      <c r="I33" s="178"/>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row>
    <row r="34" spans="1:59" ht="17.25" thickBot="1">
      <c r="A34" s="149"/>
      <c r="B34" s="179" t="s">
        <v>25</v>
      </c>
      <c r="C34" s="149"/>
      <c r="D34" s="149"/>
      <c r="E34" s="149"/>
      <c r="F34" s="149"/>
      <c r="G34" s="149"/>
      <c r="H34" s="149"/>
      <c r="I34" s="178"/>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row>
    <row r="35" spans="1:59" ht="17.25" thickBot="1">
      <c r="A35" s="149"/>
      <c r="B35" s="149"/>
      <c r="C35" s="173" t="s">
        <v>47</v>
      </c>
      <c r="D35" s="149"/>
      <c r="E35" s="174" t="s">
        <v>26</v>
      </c>
      <c r="F35" s="149"/>
      <c r="G35" s="180">
        <v>1.8200000000000001E-2</v>
      </c>
      <c r="H35" s="149"/>
      <c r="I35" s="176" t="s">
        <v>30</v>
      </c>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row>
    <row r="36" spans="1:59" ht="5.0999999999999996" customHeight="1">
      <c r="A36" s="149"/>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row>
    <row r="37" spans="1:59" ht="17.25" thickBot="1">
      <c r="A37" s="149"/>
      <c r="B37" s="149"/>
      <c r="C37" s="173" t="s">
        <v>68</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row>
    <row r="38" spans="1:59" ht="17.25" thickBot="1">
      <c r="A38" s="149"/>
      <c r="B38" s="149"/>
      <c r="C38" s="149"/>
      <c r="D38" s="149"/>
      <c r="E38" s="190">
        <f>YEAR</f>
        <v>2021</v>
      </c>
      <c r="F38" s="149"/>
      <c r="G38" s="191">
        <v>119.78</v>
      </c>
      <c r="H38" s="149"/>
      <c r="I38" s="176" t="s">
        <v>48</v>
      </c>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row>
    <row r="39" spans="1:59" ht="17.25" thickBot="1">
      <c r="A39" s="149"/>
      <c r="B39" s="149"/>
      <c r="C39" s="149"/>
      <c r="D39" s="149"/>
      <c r="E39" s="190">
        <f>E38-1</f>
        <v>2020</v>
      </c>
      <c r="F39" s="149"/>
      <c r="G39" s="191">
        <v>118.02</v>
      </c>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row>
    <row r="40" spans="1:59" ht="17.25" thickBot="1">
      <c r="A40" s="149"/>
      <c r="B40" s="149"/>
      <c r="C40" s="149"/>
      <c r="D40" s="149"/>
      <c r="E40" s="190">
        <f t="shared" ref="E40:E41" si="0">E39-1</f>
        <v>2019</v>
      </c>
      <c r="F40" s="149"/>
      <c r="G40" s="191">
        <v>114.56</v>
      </c>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row>
    <row r="41" spans="1:59" ht="17.25" thickBot="1">
      <c r="A41" s="149"/>
      <c r="B41" s="149"/>
      <c r="C41" s="149"/>
      <c r="D41" s="149"/>
      <c r="E41" s="190">
        <f t="shared" si="0"/>
        <v>2018</v>
      </c>
      <c r="F41" s="149"/>
      <c r="G41" s="191">
        <v>112.03</v>
      </c>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row>
    <row r="42" spans="1:59" ht="17.25" thickBot="1">
      <c r="A42" s="149"/>
      <c r="B42" s="149"/>
      <c r="C42" s="149"/>
      <c r="D42" s="149"/>
      <c r="E42" s="190">
        <f>E41-1</f>
        <v>2017</v>
      </c>
      <c r="F42" s="149"/>
      <c r="G42" s="191">
        <v>110.64</v>
      </c>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row>
    <row r="43" spans="1:59" ht="17.25" thickBot="1">
      <c r="A43" s="149"/>
      <c r="B43" s="149"/>
      <c r="C43" s="149"/>
      <c r="D43" s="149"/>
      <c r="E43" s="190">
        <f>E42-1</f>
        <v>2016</v>
      </c>
      <c r="F43" s="149"/>
      <c r="G43" s="192">
        <v>110.54</v>
      </c>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row>
    <row r="44" spans="1:59" ht="17.25" thickBot="1">
      <c r="A44" s="149"/>
      <c r="B44" s="149"/>
      <c r="C44" s="149"/>
      <c r="D44" s="149"/>
      <c r="E44" s="190">
        <f>E43-1</f>
        <v>2015</v>
      </c>
      <c r="F44" s="149"/>
      <c r="G44" s="191"/>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row>
    <row r="45" spans="1:59" ht="17.25" thickBot="1">
      <c r="A45" s="149"/>
      <c r="B45" s="149"/>
      <c r="C45" s="149"/>
      <c r="D45" s="149"/>
      <c r="E45" s="190">
        <v>2014</v>
      </c>
      <c r="F45" s="149"/>
      <c r="G45" s="191"/>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row>
    <row r="46" spans="1:59" ht="17.25" thickBot="1">
      <c r="A46" s="149"/>
      <c r="B46" s="149"/>
      <c r="C46" s="149"/>
      <c r="D46" s="149"/>
      <c r="E46" s="190">
        <v>2013</v>
      </c>
      <c r="F46" s="149"/>
      <c r="G46" s="191"/>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row>
    <row r="47" spans="1:59" ht="17.25" thickBot="1">
      <c r="A47" s="149"/>
      <c r="B47" s="149"/>
      <c r="C47" s="149"/>
      <c r="D47" s="149"/>
      <c r="E47" s="190">
        <v>2012</v>
      </c>
      <c r="F47" s="149"/>
      <c r="G47" s="191"/>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row>
    <row r="48" spans="1:59" ht="17.25" thickBot="1">
      <c r="A48" s="149"/>
      <c r="B48" s="149"/>
      <c r="C48" s="149"/>
      <c r="D48" s="149"/>
      <c r="E48" s="190">
        <v>2011</v>
      </c>
      <c r="F48" s="149"/>
      <c r="G48" s="191">
        <v>100.0076</v>
      </c>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row>
    <row r="49" spans="1:59" ht="5.0999999999999996" customHeight="1">
      <c r="A49" s="149"/>
      <c r="B49" s="149"/>
      <c r="C49" s="449"/>
      <c r="D49" s="149"/>
      <c r="E49" s="149"/>
      <c r="F49" s="149"/>
      <c r="G49" s="193"/>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row>
    <row r="50" spans="1:59" ht="22.5" customHeight="1" thickBot="1">
      <c r="A50" s="149"/>
      <c r="B50" s="149"/>
      <c r="C50" s="185"/>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row>
    <row r="51" spans="1:59" ht="17.25" thickBot="1">
      <c r="A51" s="149"/>
      <c r="B51" s="149"/>
      <c r="C51" s="173" t="s">
        <v>27</v>
      </c>
      <c r="D51" s="149"/>
      <c r="E51" s="174" t="s">
        <v>41</v>
      </c>
      <c r="F51" s="149"/>
      <c r="G51" s="194">
        <f>(G53/G63)^(1/(E53-E63))-1</f>
        <v>2.0111853187589457E-2</v>
      </c>
      <c r="H51" s="149"/>
      <c r="I51" s="195" t="s">
        <v>371</v>
      </c>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row>
    <row r="52" spans="1:59" ht="17.25" thickBot="1">
      <c r="A52" s="149"/>
      <c r="B52" s="149"/>
      <c r="C52" s="149"/>
      <c r="D52" s="149"/>
      <c r="E52" s="196"/>
      <c r="F52" s="149"/>
      <c r="G52" s="197"/>
      <c r="H52" s="149"/>
      <c r="I52" s="197"/>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row>
    <row r="53" spans="1:59" ht="17.25" thickBot="1">
      <c r="A53" s="149"/>
      <c r="B53" s="149"/>
      <c r="C53" s="149"/>
      <c r="D53" s="149"/>
      <c r="E53" s="190">
        <f>YEAR</f>
        <v>2021</v>
      </c>
      <c r="F53" s="149"/>
      <c r="G53" s="191">
        <v>117.52844863116896</v>
      </c>
      <c r="H53" s="149"/>
      <c r="I53" s="195" t="s">
        <v>372</v>
      </c>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row>
    <row r="54" spans="1:59" ht="17.25" thickBot="1">
      <c r="A54" s="149"/>
      <c r="B54" s="149"/>
      <c r="C54" s="149"/>
      <c r="D54" s="149"/>
      <c r="E54" s="190">
        <f>E53-1</f>
        <v>2020</v>
      </c>
      <c r="F54" s="149"/>
      <c r="G54" s="191"/>
      <c r="H54" s="149"/>
      <c r="I54" s="198"/>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row>
    <row r="55" spans="1:59" ht="17.25" thickBot="1">
      <c r="A55" s="149"/>
      <c r="B55" s="149"/>
      <c r="C55" s="149"/>
      <c r="D55" s="149"/>
      <c r="E55" s="190">
        <f t="shared" ref="E55:E56" si="1">E54-1</f>
        <v>2019</v>
      </c>
      <c r="F55" s="149"/>
      <c r="G55" s="191"/>
      <c r="H55" s="149"/>
      <c r="I55" s="198"/>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row>
    <row r="56" spans="1:59" ht="17.25" thickBot="1">
      <c r="A56" s="149"/>
      <c r="B56" s="149"/>
      <c r="C56" s="149"/>
      <c r="D56" s="149"/>
      <c r="E56" s="190">
        <f t="shared" si="1"/>
        <v>2018</v>
      </c>
      <c r="F56" s="149"/>
      <c r="G56" s="191"/>
      <c r="H56" s="149"/>
      <c r="I56" s="198"/>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row>
    <row r="57" spans="1:59" ht="17.25" thickBot="1">
      <c r="A57" s="149"/>
      <c r="B57" s="149"/>
      <c r="C57" s="149"/>
      <c r="D57" s="149"/>
      <c r="E57" s="190">
        <f>E56-1</f>
        <v>2017</v>
      </c>
      <c r="F57" s="149"/>
      <c r="G57" s="191"/>
      <c r="H57" s="149"/>
      <c r="I57" s="198"/>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row>
    <row r="58" spans="1:59" ht="17.25" thickBot="1">
      <c r="A58" s="149"/>
      <c r="B58" s="149"/>
      <c r="C58" s="149"/>
      <c r="D58" s="149"/>
      <c r="E58" s="190">
        <f>E57-1</f>
        <v>2016</v>
      </c>
      <c r="F58" s="149"/>
      <c r="G58" s="191">
        <v>108.28580733223882</v>
      </c>
      <c r="H58" s="149"/>
      <c r="I58" s="198"/>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row>
    <row r="59" spans="1:59" ht="17.25" thickBot="1">
      <c r="A59" s="149"/>
      <c r="B59" s="149"/>
      <c r="C59" s="149"/>
      <c r="D59" s="149"/>
      <c r="E59" s="190">
        <f>E58-1</f>
        <v>2015</v>
      </c>
      <c r="F59" s="149"/>
      <c r="G59" s="191"/>
      <c r="H59" s="149"/>
      <c r="I59" s="198"/>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row>
    <row r="60" spans="1:59" ht="17.25" thickBot="1">
      <c r="A60" s="149"/>
      <c r="B60" s="149"/>
      <c r="C60" s="149"/>
      <c r="D60" s="149"/>
      <c r="E60" s="190">
        <v>2014</v>
      </c>
      <c r="F60" s="149"/>
      <c r="G60" s="191"/>
      <c r="H60" s="149"/>
      <c r="I60" s="198"/>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row>
    <row r="61" spans="1:59" ht="17.25" thickBot="1">
      <c r="A61" s="149"/>
      <c r="B61" s="149"/>
      <c r="C61" s="149"/>
      <c r="D61" s="149"/>
      <c r="E61" s="190">
        <v>2013</v>
      </c>
      <c r="F61" s="149"/>
      <c r="G61" s="191"/>
      <c r="H61" s="149"/>
      <c r="I61" s="198"/>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row>
    <row r="62" spans="1:59" ht="17.25" thickBot="1">
      <c r="A62" s="149"/>
      <c r="B62" s="149"/>
      <c r="C62" s="149"/>
      <c r="D62" s="149"/>
      <c r="E62" s="190">
        <v>2012</v>
      </c>
      <c r="F62" s="149"/>
      <c r="G62" s="191"/>
      <c r="H62" s="149"/>
      <c r="I62" s="198"/>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row>
    <row r="63" spans="1:59" ht="21.75" customHeight="1" thickBot="1">
      <c r="A63" s="149"/>
      <c r="B63" s="149"/>
      <c r="C63" s="149"/>
      <c r="D63" s="149"/>
      <c r="E63" s="190">
        <v>2011</v>
      </c>
      <c r="F63" s="149"/>
      <c r="G63" s="191">
        <v>96.308598892127009</v>
      </c>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row>
    <row r="64" spans="1:59" ht="25.5" customHeight="1">
      <c r="A64" s="149"/>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row>
    <row r="65" spans="1:59" hidden="1">
      <c r="A65" s="149"/>
      <c r="B65" s="149"/>
      <c r="C65" s="149"/>
      <c r="D65" s="149"/>
      <c r="E65" s="149"/>
      <c r="F65" s="149"/>
      <c r="G65" s="177" t="e">
        <f>Chargeind</f>
        <v>#REF!</v>
      </c>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row>
    <row r="66" spans="1:59" ht="5.0999999999999996" hidden="1"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row>
    <row r="67" spans="1:59" hidden="1">
      <c r="A67" s="149"/>
      <c r="B67" s="149"/>
      <c r="C67" s="149"/>
      <c r="D67" s="149"/>
      <c r="E67" s="149"/>
      <c r="F67" s="149"/>
      <c r="G67" s="177" t="e">
        <f>Chargeind</f>
        <v>#REF!</v>
      </c>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row>
    <row r="68" spans="1:59">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row>
    <row r="69" spans="1:59">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row>
    <row r="70" spans="1:59">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row>
    <row r="71" spans="1:59">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row>
    <row r="72" spans="1:59">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row>
    <row r="73" spans="1:59">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row>
    <row r="74" spans="1:59">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row>
    <row r="75" spans="1:59">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row>
    <row r="76" spans="1:59">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row>
    <row r="77" spans="1:59">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row>
    <row r="78" spans="1:59">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row>
    <row r="79" spans="1:59">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row>
    <row r="80" spans="1:59">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row>
    <row r="81" spans="1:59">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row>
    <row r="82" spans="1:59">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row>
    <row r="83" spans="1:59">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row>
    <row r="84" spans="1:59">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row>
    <row r="85" spans="1:59">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row>
    <row r="86" spans="1:59">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row>
    <row r="87" spans="1:59">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row>
    <row r="88" spans="1:59">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row>
    <row r="89" spans="1:59">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row>
    <row r="90" spans="1:59">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row>
    <row r="91" spans="1:59">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row>
    <row r="92" spans="1:59">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row>
    <row r="93" spans="1:59">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row>
    <row r="94" spans="1:59">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row>
    <row r="95" spans="1:59">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row>
    <row r="96" spans="1:59">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row>
    <row r="97" spans="1:59">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row>
    <row r="98" spans="1:59">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row>
    <row r="99" spans="1:59">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row>
    <row r="100" spans="1:59">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row>
    <row r="101" spans="1:59">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row>
    <row r="102" spans="1:59">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row>
    <row r="103" spans="1:59">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row>
    <row r="104" spans="1:59">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row>
    <row r="105" spans="1:59">
      <c r="A105" s="149"/>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row>
    <row r="106" spans="1:59">
      <c r="A106" s="149"/>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row>
    <row r="107" spans="1:59">
      <c r="A107" s="149"/>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row>
    <row r="108" spans="1:59">
      <c r="A108" s="149"/>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row>
    <row r="109" spans="1:59">
      <c r="A109" s="149"/>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row>
    <row r="110" spans="1:59">
      <c r="A110" s="149"/>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row>
    <row r="111" spans="1:59">
      <c r="A111" s="149"/>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row>
    <row r="112" spans="1:59">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row>
    <row r="113" spans="1:59">
      <c r="A113" s="149"/>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row>
    <row r="114" spans="1:59">
      <c r="A114" s="149"/>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row>
    <row r="115" spans="1:59">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row>
    <row r="116" spans="1:59">
      <c r="A116" s="149"/>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row>
    <row r="117" spans="1:59">
      <c r="A117" s="149"/>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row>
    <row r="118" spans="1:59">
      <c r="A118" s="149"/>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row>
    <row r="119" spans="1:59">
      <c r="A119" s="149"/>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row>
    <row r="120" spans="1:59">
      <c r="A120" s="149"/>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row>
    <row r="121" spans="1:59">
      <c r="A121" s="149"/>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row>
    <row r="122" spans="1:59">
      <c r="A122" s="149"/>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row>
    <row r="123" spans="1:59">
      <c r="A123" s="149"/>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row>
    <row r="124" spans="1:59">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row>
    <row r="125" spans="1:59">
      <c r="A125" s="149"/>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row>
    <row r="126" spans="1:59">
      <c r="A126" s="149"/>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row>
    <row r="127" spans="1:59">
      <c r="A127" s="149"/>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row>
    <row r="128" spans="1:59">
      <c r="A128" s="149"/>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row>
    <row r="129" spans="1:59">
      <c r="A129" s="149"/>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row>
    <row r="130" spans="1:59">
      <c r="A130" s="149"/>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row>
    <row r="131" spans="1:59">
      <c r="A131" s="149"/>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row>
    <row r="132" spans="1:59">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row>
    <row r="133" spans="1:59">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row>
    <row r="134" spans="1:59">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row>
    <row r="135" spans="1:59">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row>
    <row r="136" spans="1:59">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row>
    <row r="137" spans="1:59">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row>
    <row r="138" spans="1:59">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row>
    <row r="139" spans="1:59">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row>
    <row r="140" spans="1:59">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row>
    <row r="141" spans="1:59">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row>
    <row r="142" spans="1:59">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row>
    <row r="143" spans="1:59">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row>
    <row r="144" spans="1:59">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row>
    <row r="145" spans="1:59">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row>
    <row r="146" spans="1:59">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row>
    <row r="147" spans="1:59">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row>
    <row r="148" spans="1:59">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row>
    <row r="149" spans="1:59">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row>
    <row r="150" spans="1:59">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row>
    <row r="151" spans="1:59">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row>
    <row r="152" spans="1:59">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row>
    <row r="153" spans="1:59">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row>
    <row r="154" spans="1:59">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row>
    <row r="155" spans="1:59">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row>
    <row r="156" spans="1:59">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row>
    <row r="157" spans="1:59">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row>
    <row r="158" spans="1:59">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row>
    <row r="159" spans="1:59">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row>
    <row r="160" spans="1:59">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row>
    <row r="161" spans="1:59">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row>
    <row r="162" spans="1:59">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row>
    <row r="163" spans="1:59">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row>
    <row r="164" spans="1:59">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row>
    <row r="165" spans="1:59">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row>
    <row r="166" spans="1:59">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row>
    <row r="167" spans="1:59">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row>
    <row r="168" spans="1:59">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row>
    <row r="169" spans="1:59">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row>
    <row r="170" spans="1:59">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row>
    <row r="171" spans="1:59">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row>
    <row r="172" spans="1:59">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row>
    <row r="173" spans="1:59">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row>
    <row r="174" spans="1:59">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row>
    <row r="175" spans="1:59">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row>
    <row r="176" spans="1:59">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row>
    <row r="177" spans="1:59">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row>
    <row r="178" spans="1:59">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row>
    <row r="179" spans="1:59">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row>
    <row r="180" spans="1:59">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row>
    <row r="181" spans="1:59">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row>
    <row r="182" spans="1:59">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row>
    <row r="183" spans="1:59">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c r="AF183" s="149"/>
      <c r="AG183" s="149"/>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c r="BG183" s="149"/>
    </row>
    <row r="184" spans="1:59">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row>
    <row r="185" spans="1:59">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E185" s="149"/>
      <c r="AF185" s="149"/>
      <c r="AG185" s="149"/>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row>
    <row r="186" spans="1:59">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row>
    <row r="187" spans="1:59">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49"/>
    </row>
    <row r="188" spans="1:59">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c r="AB188" s="149"/>
      <c r="AC188" s="149"/>
      <c r="AD188" s="149"/>
      <c r="AE188" s="149"/>
      <c r="AF188" s="149"/>
      <c r="AG188" s="149"/>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row>
    <row r="189" spans="1:59">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row>
    <row r="190" spans="1:59">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row>
    <row r="191" spans="1:59">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c r="AB191" s="149"/>
      <c r="AC191" s="149"/>
      <c r="AD191" s="149"/>
      <c r="AE191" s="149"/>
      <c r="AF191" s="149"/>
      <c r="AG191" s="149"/>
      <c r="AH191" s="149"/>
      <c r="AI191" s="149"/>
      <c r="AJ191" s="149"/>
      <c r="AK191" s="149"/>
      <c r="AL191" s="149"/>
      <c r="AM191" s="149"/>
      <c r="AN191" s="149"/>
      <c r="AO191" s="149"/>
      <c r="AP191" s="149"/>
      <c r="AQ191" s="149"/>
      <c r="AR191" s="149"/>
      <c r="AS191" s="149"/>
      <c r="AT191" s="149"/>
      <c r="AU191" s="149"/>
      <c r="AV191" s="149"/>
      <c r="AW191" s="149"/>
      <c r="AX191" s="149"/>
      <c r="AY191" s="149"/>
      <c r="AZ191" s="149"/>
      <c r="BA191" s="149"/>
      <c r="BB191" s="149"/>
      <c r="BC191" s="149"/>
      <c r="BD191" s="149"/>
      <c r="BE191" s="149"/>
      <c r="BF191" s="149"/>
      <c r="BG191" s="149"/>
    </row>
    <row r="192" spans="1:59">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c r="AF192" s="149"/>
      <c r="AG192" s="149"/>
      <c r="AH192" s="149"/>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row>
    <row r="193" spans="1:59">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row>
    <row r="194" spans="1:59">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row>
    <row r="195" spans="1:59">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149"/>
      <c r="AM195" s="149"/>
      <c r="AN195" s="149"/>
      <c r="AO195" s="149"/>
      <c r="AP195" s="149"/>
      <c r="AQ195" s="149"/>
      <c r="AR195" s="149"/>
      <c r="AS195" s="149"/>
      <c r="AT195" s="149"/>
      <c r="AU195" s="149"/>
      <c r="AV195" s="149"/>
      <c r="AW195" s="149"/>
      <c r="AX195" s="149"/>
      <c r="AY195" s="149"/>
      <c r="AZ195" s="149"/>
      <c r="BA195" s="149"/>
      <c r="BB195" s="149"/>
      <c r="BC195" s="149"/>
      <c r="BD195" s="149"/>
      <c r="BE195" s="149"/>
      <c r="BF195" s="149"/>
      <c r="BG195" s="149"/>
    </row>
    <row r="196" spans="1:59">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row>
    <row r="197" spans="1:59">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row>
    <row r="198" spans="1:59">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row>
    <row r="199" spans="1:59">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row>
    <row r="200" spans="1:59">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row>
    <row r="201" spans="1:59">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c r="AG201" s="149"/>
      <c r="AH201" s="149"/>
      <c r="AI201" s="149"/>
      <c r="AJ201" s="149"/>
      <c r="AK201" s="149"/>
      <c r="AL201" s="149"/>
      <c r="AM201" s="149"/>
      <c r="AN201" s="149"/>
      <c r="AO201" s="149"/>
      <c r="AP201" s="149"/>
      <c r="AQ201" s="149"/>
      <c r="AR201" s="149"/>
      <c r="AS201" s="149"/>
      <c r="AT201" s="149"/>
      <c r="AU201" s="149"/>
      <c r="AV201" s="149"/>
      <c r="AW201" s="149"/>
      <c r="AX201" s="149"/>
      <c r="AY201" s="149"/>
      <c r="AZ201" s="149"/>
      <c r="BA201" s="149"/>
      <c r="BB201" s="149"/>
      <c r="BC201" s="149"/>
      <c r="BD201" s="149"/>
      <c r="BE201" s="149"/>
      <c r="BF201" s="149"/>
      <c r="BG201" s="149"/>
    </row>
    <row r="202" spans="1:59">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row>
    <row r="203" spans="1:59">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49"/>
      <c r="BC203" s="149"/>
      <c r="BD203" s="149"/>
      <c r="BE203" s="149"/>
      <c r="BF203" s="149"/>
      <c r="BG203" s="149"/>
    </row>
    <row r="204" spans="1:59">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c r="AG204" s="149"/>
      <c r="AH204" s="149"/>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row>
    <row r="205" spans="1:59">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row>
    <row r="206" spans="1:59">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row>
    <row r="207" spans="1:59">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49"/>
      <c r="AK207" s="149"/>
      <c r="AL207" s="149"/>
      <c r="AM207" s="149"/>
      <c r="AN207" s="149"/>
      <c r="AO207" s="149"/>
      <c r="AP207" s="149"/>
      <c r="AQ207" s="149"/>
      <c r="AR207" s="149"/>
      <c r="AS207" s="149"/>
      <c r="AT207" s="149"/>
      <c r="AU207" s="149"/>
      <c r="AV207" s="149"/>
      <c r="AW207" s="149"/>
      <c r="AX207" s="149"/>
      <c r="AY207" s="149"/>
      <c r="AZ207" s="149"/>
      <c r="BA207" s="149"/>
      <c r="BB207" s="149"/>
      <c r="BC207" s="149"/>
      <c r="BD207" s="149"/>
      <c r="BE207" s="149"/>
      <c r="BF207" s="149"/>
      <c r="BG207" s="149"/>
    </row>
    <row r="208" spans="1:59">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49"/>
      <c r="AE208" s="149"/>
      <c r="AF208" s="149"/>
      <c r="AG208" s="149"/>
      <c r="AH208" s="149"/>
      <c r="AI208" s="149"/>
      <c r="AJ208" s="149"/>
      <c r="AK208" s="149"/>
      <c r="AL208" s="149"/>
      <c r="AM208" s="149"/>
      <c r="AN208" s="149"/>
      <c r="AO208" s="149"/>
      <c r="AP208" s="149"/>
      <c r="AQ208" s="149"/>
      <c r="AR208" s="149"/>
      <c r="AS208" s="149"/>
      <c r="AT208" s="149"/>
      <c r="AU208" s="149"/>
      <c r="AV208" s="149"/>
      <c r="AW208" s="149"/>
      <c r="AX208" s="149"/>
      <c r="AY208" s="149"/>
      <c r="AZ208" s="149"/>
      <c r="BA208" s="149"/>
      <c r="BB208" s="149"/>
      <c r="BC208" s="149"/>
      <c r="BD208" s="149"/>
      <c r="BE208" s="149"/>
      <c r="BF208" s="149"/>
      <c r="BG208" s="149"/>
    </row>
    <row r="209" spans="1:59">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49"/>
      <c r="AP209" s="149"/>
      <c r="AQ209" s="149"/>
      <c r="AR209" s="149"/>
      <c r="AS209" s="149"/>
      <c r="AT209" s="149"/>
      <c r="AU209" s="149"/>
      <c r="AV209" s="149"/>
      <c r="AW209" s="149"/>
      <c r="AX209" s="149"/>
      <c r="AY209" s="149"/>
      <c r="AZ209" s="149"/>
      <c r="BA209" s="149"/>
      <c r="BB209" s="149"/>
      <c r="BC209" s="149"/>
      <c r="BD209" s="149"/>
      <c r="BE209" s="149"/>
      <c r="BF209" s="149"/>
      <c r="BG209" s="149"/>
    </row>
    <row r="210" spans="1:59">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c r="AF210" s="149"/>
      <c r="AG210" s="149"/>
      <c r="AH210" s="149"/>
      <c r="AI210" s="149"/>
      <c r="AJ210" s="149"/>
      <c r="AK210" s="149"/>
      <c r="AL210" s="149"/>
      <c r="AM210" s="149"/>
      <c r="AN210" s="149"/>
      <c r="AO210" s="149"/>
      <c r="AP210" s="149"/>
      <c r="AQ210" s="149"/>
      <c r="AR210" s="149"/>
      <c r="AS210" s="149"/>
      <c r="AT210" s="149"/>
      <c r="AU210" s="149"/>
      <c r="AV210" s="149"/>
      <c r="AW210" s="149"/>
      <c r="AX210" s="149"/>
      <c r="AY210" s="149"/>
      <c r="AZ210" s="149"/>
      <c r="BA210" s="149"/>
      <c r="BB210" s="149"/>
      <c r="BC210" s="149"/>
      <c r="BD210" s="149"/>
      <c r="BE210" s="149"/>
      <c r="BF210" s="149"/>
      <c r="BG210" s="149"/>
    </row>
    <row r="211" spans="1:59">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c r="AF211" s="149"/>
      <c r="AG211" s="149"/>
      <c r="AH211" s="149"/>
      <c r="AI211" s="149"/>
      <c r="AJ211" s="149"/>
      <c r="AK211" s="149"/>
      <c r="AL211" s="149"/>
      <c r="AM211" s="149"/>
      <c r="AN211" s="149"/>
      <c r="AO211" s="149"/>
      <c r="AP211" s="149"/>
      <c r="AQ211" s="149"/>
      <c r="AR211" s="149"/>
      <c r="AS211" s="149"/>
      <c r="AT211" s="149"/>
      <c r="AU211" s="149"/>
      <c r="AV211" s="149"/>
      <c r="AW211" s="149"/>
      <c r="AX211" s="149"/>
      <c r="AY211" s="149"/>
      <c r="AZ211" s="149"/>
      <c r="BA211" s="149"/>
      <c r="BB211" s="149"/>
      <c r="BC211" s="149"/>
      <c r="BD211" s="149"/>
      <c r="BE211" s="149"/>
      <c r="BF211" s="149"/>
      <c r="BG211" s="149"/>
    </row>
    <row r="212" spans="1:59">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c r="AE212" s="149"/>
      <c r="AF212" s="149"/>
      <c r="AG212" s="149"/>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9"/>
      <c r="BE212" s="149"/>
      <c r="BF212" s="149"/>
      <c r="BG212" s="149"/>
    </row>
    <row r="213" spans="1:59">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E213" s="149"/>
      <c r="AF213" s="149"/>
      <c r="AG213" s="149"/>
      <c r="AH213" s="149"/>
      <c r="AI213" s="149"/>
      <c r="AJ213" s="149"/>
      <c r="AK213" s="149"/>
      <c r="AL213" s="149"/>
      <c r="AM213" s="149"/>
      <c r="AN213" s="149"/>
      <c r="AO213" s="149"/>
      <c r="AP213" s="149"/>
      <c r="AQ213" s="149"/>
      <c r="AR213" s="149"/>
      <c r="AS213" s="149"/>
      <c r="AT213" s="149"/>
      <c r="AU213" s="149"/>
      <c r="AV213" s="149"/>
      <c r="AW213" s="149"/>
      <c r="AX213" s="149"/>
      <c r="AY213" s="149"/>
      <c r="AZ213" s="149"/>
      <c r="BA213" s="149"/>
      <c r="BB213" s="149"/>
      <c r="BC213" s="149"/>
      <c r="BD213" s="149"/>
      <c r="BE213" s="149"/>
      <c r="BF213" s="149"/>
      <c r="BG213" s="149"/>
    </row>
    <row r="214" spans="1:59">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E214" s="149"/>
      <c r="AF214" s="149"/>
      <c r="AG214" s="149"/>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49"/>
    </row>
    <row r="215" spans="1:59">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c r="AG215" s="149"/>
      <c r="AH215" s="149"/>
      <c r="AI215" s="149"/>
      <c r="AJ215" s="149"/>
      <c r="AK215" s="149"/>
      <c r="AL215" s="149"/>
      <c r="AM215" s="149"/>
      <c r="AN215" s="149"/>
      <c r="AO215" s="149"/>
      <c r="AP215" s="149"/>
      <c r="AQ215" s="149"/>
      <c r="AR215" s="149"/>
      <c r="AS215" s="149"/>
      <c r="AT215" s="149"/>
      <c r="AU215" s="149"/>
      <c r="AV215" s="149"/>
      <c r="AW215" s="149"/>
      <c r="AX215" s="149"/>
      <c r="AY215" s="149"/>
      <c r="AZ215" s="149"/>
      <c r="BA215" s="149"/>
      <c r="BB215" s="149"/>
      <c r="BC215" s="149"/>
      <c r="BD215" s="149"/>
      <c r="BE215" s="149"/>
      <c r="BF215" s="149"/>
      <c r="BG215" s="149"/>
    </row>
    <row r="216" spans="1:59">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c r="AF216" s="149"/>
      <c r="AG216" s="149"/>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49"/>
    </row>
    <row r="217" spans="1:59">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c r="AF217" s="149"/>
      <c r="AG217" s="149"/>
      <c r="AH217" s="149"/>
      <c r="AI217" s="149"/>
      <c r="AJ217" s="149"/>
      <c r="AK217" s="149"/>
      <c r="AL217" s="149"/>
      <c r="AM217" s="149"/>
      <c r="AN217" s="149"/>
      <c r="AO217" s="149"/>
      <c r="AP217" s="149"/>
      <c r="AQ217" s="149"/>
      <c r="AR217" s="149"/>
      <c r="AS217" s="149"/>
      <c r="AT217" s="149"/>
      <c r="AU217" s="149"/>
      <c r="AV217" s="149"/>
      <c r="AW217" s="149"/>
      <c r="AX217" s="149"/>
      <c r="AY217" s="149"/>
      <c r="AZ217" s="149"/>
      <c r="BA217" s="149"/>
      <c r="BB217" s="149"/>
      <c r="BC217" s="149"/>
      <c r="BD217" s="149"/>
      <c r="BE217" s="149"/>
      <c r="BF217" s="149"/>
      <c r="BG217" s="149"/>
    </row>
    <row r="218" spans="1:59">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E218" s="149"/>
      <c r="AF218" s="149"/>
      <c r="AG218" s="149"/>
      <c r="AH218" s="149"/>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149"/>
      <c r="BF218" s="149"/>
      <c r="BG218" s="149"/>
    </row>
    <row r="219" spans="1:59">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c r="AF219" s="149"/>
      <c r="AG219" s="149"/>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9"/>
      <c r="BE219" s="149"/>
      <c r="BF219" s="149"/>
      <c r="BG219" s="149"/>
    </row>
    <row r="220" spans="1:59">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c r="AE220" s="149"/>
      <c r="AF220" s="149"/>
      <c r="AG220" s="149"/>
      <c r="AH220" s="149"/>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c r="BG220" s="149"/>
    </row>
    <row r="221" spans="1:59">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c r="AG221" s="149"/>
      <c r="AH221" s="149"/>
      <c r="AI221" s="149"/>
      <c r="AJ221" s="149"/>
      <c r="AK221" s="149"/>
      <c r="AL221" s="149"/>
      <c r="AM221" s="149"/>
      <c r="AN221" s="149"/>
      <c r="AO221" s="149"/>
      <c r="AP221" s="149"/>
      <c r="AQ221" s="149"/>
      <c r="AR221" s="149"/>
      <c r="AS221" s="149"/>
      <c r="AT221" s="149"/>
      <c r="AU221" s="149"/>
      <c r="AV221" s="149"/>
      <c r="AW221" s="149"/>
      <c r="AX221" s="149"/>
      <c r="AY221" s="149"/>
      <c r="AZ221" s="149"/>
      <c r="BA221" s="149"/>
      <c r="BB221" s="149"/>
      <c r="BC221" s="149"/>
      <c r="BD221" s="149"/>
      <c r="BE221" s="149"/>
      <c r="BF221" s="149"/>
      <c r="BG221" s="149"/>
    </row>
    <row r="222" spans="1:59">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c r="AF222" s="149"/>
      <c r="AG222" s="149"/>
      <c r="AH222" s="149"/>
      <c r="AI222" s="149"/>
      <c r="AJ222" s="149"/>
      <c r="AK222" s="149"/>
      <c r="AL222" s="149"/>
      <c r="AM222" s="149"/>
      <c r="AN222" s="149"/>
      <c r="AO222" s="149"/>
      <c r="AP222" s="149"/>
      <c r="AQ222" s="149"/>
      <c r="AR222" s="149"/>
      <c r="AS222" s="149"/>
      <c r="AT222" s="149"/>
      <c r="AU222" s="149"/>
      <c r="AV222" s="149"/>
      <c r="AW222" s="149"/>
      <c r="AX222" s="149"/>
      <c r="AY222" s="149"/>
      <c r="AZ222" s="149"/>
      <c r="BA222" s="149"/>
      <c r="BB222" s="149"/>
      <c r="BC222" s="149"/>
      <c r="BD222" s="149"/>
      <c r="BE222" s="149"/>
      <c r="BF222" s="149"/>
      <c r="BG222" s="149"/>
    </row>
    <row r="223" spans="1:59">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c r="AG223" s="149"/>
      <c r="AH223" s="149"/>
      <c r="AI223" s="149"/>
      <c r="AJ223" s="149"/>
      <c r="AK223" s="149"/>
      <c r="AL223" s="149"/>
      <c r="AM223" s="149"/>
      <c r="AN223" s="149"/>
      <c r="AO223" s="149"/>
      <c r="AP223" s="149"/>
      <c r="AQ223" s="149"/>
      <c r="AR223" s="149"/>
      <c r="AS223" s="149"/>
      <c r="AT223" s="149"/>
      <c r="AU223" s="149"/>
      <c r="AV223" s="149"/>
      <c r="AW223" s="149"/>
      <c r="AX223" s="149"/>
      <c r="AY223" s="149"/>
      <c r="AZ223" s="149"/>
      <c r="BA223" s="149"/>
      <c r="BB223" s="149"/>
      <c r="BC223" s="149"/>
      <c r="BD223" s="149"/>
      <c r="BE223" s="149"/>
      <c r="BF223" s="149"/>
      <c r="BG223" s="149"/>
    </row>
    <row r="224" spans="1:59">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C224" s="149"/>
      <c r="AD224" s="149"/>
      <c r="AE224" s="149"/>
      <c r="AF224" s="149"/>
      <c r="AG224" s="149"/>
      <c r="AH224" s="149"/>
      <c r="AI224" s="149"/>
      <c r="AJ224" s="149"/>
      <c r="AK224" s="149"/>
      <c r="AL224" s="149"/>
      <c r="AM224" s="149"/>
      <c r="AN224" s="149"/>
      <c r="AO224" s="149"/>
      <c r="AP224" s="149"/>
      <c r="AQ224" s="149"/>
      <c r="AR224" s="149"/>
      <c r="AS224" s="149"/>
      <c r="AT224" s="149"/>
      <c r="AU224" s="149"/>
      <c r="AV224" s="149"/>
      <c r="AW224" s="149"/>
      <c r="AX224" s="149"/>
      <c r="AY224" s="149"/>
      <c r="AZ224" s="149"/>
      <c r="BA224" s="149"/>
      <c r="BB224" s="149"/>
      <c r="BC224" s="149"/>
      <c r="BD224" s="149"/>
      <c r="BE224" s="149"/>
      <c r="BF224" s="149"/>
      <c r="BG224" s="149"/>
    </row>
    <row r="225" spans="1:59">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49"/>
      <c r="AK225" s="149"/>
      <c r="AL225" s="149"/>
      <c r="AM225" s="149"/>
      <c r="AN225" s="149"/>
      <c r="AO225" s="149"/>
      <c r="AP225" s="149"/>
      <c r="AQ225" s="149"/>
      <c r="AR225" s="149"/>
      <c r="AS225" s="149"/>
      <c r="AT225" s="149"/>
      <c r="AU225" s="149"/>
      <c r="AV225" s="149"/>
      <c r="AW225" s="149"/>
      <c r="AX225" s="149"/>
      <c r="AY225" s="149"/>
      <c r="AZ225" s="149"/>
      <c r="BA225" s="149"/>
      <c r="BB225" s="149"/>
      <c r="BC225" s="149"/>
      <c r="BD225" s="149"/>
      <c r="BE225" s="149"/>
      <c r="BF225" s="149"/>
      <c r="BG225" s="149"/>
    </row>
    <row r="226" spans="1:59">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c r="AG226" s="149"/>
      <c r="AH226" s="149"/>
      <c r="AI226" s="149"/>
      <c r="AJ226" s="149"/>
      <c r="AK226" s="149"/>
      <c r="AL226" s="149"/>
      <c r="AM226" s="149"/>
      <c r="AN226" s="149"/>
      <c r="AO226" s="149"/>
      <c r="AP226" s="149"/>
      <c r="AQ226" s="149"/>
      <c r="AR226" s="149"/>
      <c r="AS226" s="149"/>
      <c r="AT226" s="149"/>
      <c r="AU226" s="149"/>
      <c r="AV226" s="149"/>
      <c r="AW226" s="149"/>
      <c r="AX226" s="149"/>
      <c r="AY226" s="149"/>
      <c r="AZ226" s="149"/>
      <c r="BA226" s="149"/>
      <c r="BB226" s="149"/>
      <c r="BC226" s="149"/>
      <c r="BD226" s="149"/>
      <c r="BE226" s="149"/>
      <c r="BF226" s="149"/>
      <c r="BG226" s="149"/>
    </row>
    <row r="227" spans="1:59">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c r="AF227" s="149"/>
      <c r="AG227" s="149"/>
      <c r="AH227" s="149"/>
      <c r="AI227" s="149"/>
      <c r="AJ227" s="149"/>
      <c r="AK227" s="149"/>
      <c r="AL227" s="149"/>
      <c r="AM227" s="149"/>
      <c r="AN227" s="149"/>
      <c r="AO227" s="149"/>
      <c r="AP227" s="149"/>
      <c r="AQ227" s="149"/>
      <c r="AR227" s="149"/>
      <c r="AS227" s="149"/>
      <c r="AT227" s="149"/>
      <c r="AU227" s="149"/>
      <c r="AV227" s="149"/>
      <c r="AW227" s="149"/>
      <c r="AX227" s="149"/>
      <c r="AY227" s="149"/>
      <c r="AZ227" s="149"/>
      <c r="BA227" s="149"/>
      <c r="BB227" s="149"/>
      <c r="BC227" s="149"/>
      <c r="BD227" s="149"/>
      <c r="BE227" s="149"/>
      <c r="BF227" s="149"/>
      <c r="BG227" s="149"/>
    </row>
    <row r="228" spans="1:59">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c r="AG228" s="149"/>
      <c r="AH228" s="149"/>
      <c r="AI228" s="149"/>
      <c r="AJ228" s="149"/>
      <c r="AK228" s="149"/>
      <c r="AL228" s="149"/>
      <c r="AM228" s="149"/>
      <c r="AN228" s="149"/>
      <c r="AO228" s="149"/>
      <c r="AP228" s="149"/>
      <c r="AQ228" s="149"/>
      <c r="AR228" s="149"/>
      <c r="AS228" s="149"/>
      <c r="AT228" s="149"/>
      <c r="AU228" s="149"/>
      <c r="AV228" s="149"/>
      <c r="AW228" s="149"/>
      <c r="AX228" s="149"/>
      <c r="AY228" s="149"/>
      <c r="AZ228" s="149"/>
      <c r="BA228" s="149"/>
      <c r="BB228" s="149"/>
      <c r="BC228" s="149"/>
      <c r="BD228" s="149"/>
      <c r="BE228" s="149"/>
      <c r="BF228" s="149"/>
      <c r="BG228" s="149"/>
    </row>
    <row r="229" spans="1:59">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c r="AG229" s="149"/>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49"/>
    </row>
    <row r="230" spans="1:59">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E230" s="149"/>
      <c r="AF230" s="149"/>
      <c r="AG230" s="149"/>
      <c r="AH230" s="149"/>
      <c r="AI230" s="149"/>
      <c r="AJ230" s="149"/>
      <c r="AK230" s="149"/>
      <c r="AL230" s="149"/>
      <c r="AM230" s="149"/>
      <c r="AN230" s="149"/>
      <c r="AO230" s="149"/>
      <c r="AP230" s="149"/>
      <c r="AQ230" s="149"/>
      <c r="AR230" s="149"/>
      <c r="AS230" s="149"/>
      <c r="AT230" s="149"/>
      <c r="AU230" s="149"/>
      <c r="AV230" s="149"/>
      <c r="AW230" s="149"/>
      <c r="AX230" s="149"/>
      <c r="AY230" s="149"/>
      <c r="AZ230" s="149"/>
      <c r="BA230" s="149"/>
      <c r="BB230" s="149"/>
      <c r="BC230" s="149"/>
      <c r="BD230" s="149"/>
      <c r="BE230" s="149"/>
      <c r="BF230" s="149"/>
      <c r="BG230" s="149"/>
    </row>
    <row r="231" spans="1:59">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149"/>
      <c r="AL231" s="149"/>
      <c r="AM231" s="149"/>
      <c r="AN231" s="149"/>
      <c r="AO231" s="149"/>
      <c r="AP231" s="149"/>
      <c r="AQ231" s="149"/>
      <c r="AR231" s="149"/>
      <c r="AS231" s="149"/>
      <c r="AT231" s="149"/>
      <c r="AU231" s="149"/>
      <c r="AV231" s="149"/>
      <c r="AW231" s="149"/>
      <c r="AX231" s="149"/>
      <c r="AY231" s="149"/>
      <c r="AZ231" s="149"/>
      <c r="BA231" s="149"/>
      <c r="BB231" s="149"/>
      <c r="BC231" s="149"/>
      <c r="BD231" s="149"/>
      <c r="BE231" s="149"/>
      <c r="BF231" s="149"/>
      <c r="BG231" s="149"/>
    </row>
    <row r="232" spans="1:59">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c r="AF232" s="149"/>
      <c r="AG232" s="149"/>
      <c r="AH232" s="149"/>
      <c r="AI232" s="149"/>
      <c r="AJ232" s="149"/>
      <c r="AK232" s="149"/>
      <c r="AL232" s="149"/>
      <c r="AM232" s="149"/>
      <c r="AN232" s="149"/>
      <c r="AO232" s="149"/>
      <c r="AP232" s="149"/>
      <c r="AQ232" s="149"/>
      <c r="AR232" s="149"/>
      <c r="AS232" s="149"/>
      <c r="AT232" s="149"/>
      <c r="AU232" s="149"/>
      <c r="AV232" s="149"/>
      <c r="AW232" s="149"/>
      <c r="AX232" s="149"/>
      <c r="AY232" s="149"/>
      <c r="AZ232" s="149"/>
      <c r="BA232" s="149"/>
      <c r="BB232" s="149"/>
      <c r="BC232" s="149"/>
      <c r="BD232" s="149"/>
      <c r="BE232" s="149"/>
      <c r="BF232" s="149"/>
      <c r="BG232" s="149"/>
    </row>
    <row r="233" spans="1:59">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c r="AF233" s="149"/>
      <c r="AG233" s="149"/>
      <c r="AH233" s="149"/>
      <c r="AI233" s="149"/>
      <c r="AJ233" s="149"/>
      <c r="AK233" s="149"/>
      <c r="AL233" s="149"/>
      <c r="AM233" s="149"/>
      <c r="AN233" s="149"/>
      <c r="AO233" s="149"/>
      <c r="AP233" s="149"/>
      <c r="AQ233" s="149"/>
      <c r="AR233" s="149"/>
      <c r="AS233" s="149"/>
      <c r="AT233" s="149"/>
      <c r="AU233" s="149"/>
      <c r="AV233" s="149"/>
      <c r="AW233" s="149"/>
      <c r="AX233" s="149"/>
      <c r="AY233" s="149"/>
      <c r="AZ233" s="149"/>
      <c r="BA233" s="149"/>
      <c r="BB233" s="149"/>
      <c r="BC233" s="149"/>
      <c r="BD233" s="149"/>
      <c r="BE233" s="149"/>
      <c r="BF233" s="149"/>
      <c r="BG233" s="149"/>
    </row>
    <row r="234" spans="1:59">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49"/>
      <c r="AK234" s="149"/>
      <c r="AL234" s="149"/>
      <c r="AM234" s="149"/>
      <c r="AN234" s="149"/>
      <c r="AO234" s="149"/>
      <c r="AP234" s="149"/>
      <c r="AQ234" s="149"/>
      <c r="AR234" s="149"/>
      <c r="AS234" s="149"/>
      <c r="AT234" s="149"/>
      <c r="AU234" s="149"/>
      <c r="AV234" s="149"/>
      <c r="AW234" s="149"/>
      <c r="AX234" s="149"/>
      <c r="AY234" s="149"/>
      <c r="AZ234" s="149"/>
      <c r="BA234" s="149"/>
      <c r="BB234" s="149"/>
      <c r="BC234" s="149"/>
      <c r="BD234" s="149"/>
      <c r="BE234" s="149"/>
      <c r="BF234" s="149"/>
      <c r="BG234" s="149"/>
    </row>
    <row r="235" spans="1:59">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c r="AG235" s="149"/>
      <c r="AH235" s="149"/>
      <c r="AI235" s="149"/>
      <c r="AJ235" s="149"/>
      <c r="AK235" s="149"/>
      <c r="AL235" s="149"/>
      <c r="AM235" s="149"/>
      <c r="AN235" s="149"/>
      <c r="AO235" s="149"/>
      <c r="AP235" s="149"/>
      <c r="AQ235" s="149"/>
      <c r="AR235" s="149"/>
      <c r="AS235" s="149"/>
      <c r="AT235" s="149"/>
      <c r="AU235" s="149"/>
      <c r="AV235" s="149"/>
      <c r="AW235" s="149"/>
      <c r="AX235" s="149"/>
      <c r="AY235" s="149"/>
      <c r="AZ235" s="149"/>
      <c r="BA235" s="149"/>
      <c r="BB235" s="149"/>
      <c r="BC235" s="149"/>
      <c r="BD235" s="149"/>
      <c r="BE235" s="149"/>
      <c r="BF235" s="149"/>
      <c r="BG235" s="149"/>
    </row>
    <row r="236" spans="1:59">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c r="AL236" s="149"/>
      <c r="AM236" s="149"/>
      <c r="AN236" s="149"/>
      <c r="AO236" s="149"/>
      <c r="AP236" s="149"/>
      <c r="AQ236" s="149"/>
      <c r="AR236" s="149"/>
      <c r="AS236" s="149"/>
      <c r="AT236" s="149"/>
      <c r="AU236" s="149"/>
      <c r="AV236" s="149"/>
      <c r="AW236" s="149"/>
      <c r="AX236" s="149"/>
      <c r="AY236" s="149"/>
      <c r="AZ236" s="149"/>
      <c r="BA236" s="149"/>
      <c r="BB236" s="149"/>
      <c r="BC236" s="149"/>
      <c r="BD236" s="149"/>
      <c r="BE236" s="149"/>
      <c r="BF236" s="149"/>
      <c r="BG236" s="149"/>
    </row>
    <row r="237" spans="1:59">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c r="AF237" s="149"/>
      <c r="AG237" s="149"/>
      <c r="AH237" s="149"/>
      <c r="AI237" s="149"/>
      <c r="AJ237" s="149"/>
      <c r="AK237" s="149"/>
      <c r="AL237" s="149"/>
      <c r="AM237" s="149"/>
      <c r="AN237" s="149"/>
      <c r="AO237" s="149"/>
      <c r="AP237" s="149"/>
      <c r="AQ237" s="149"/>
      <c r="AR237" s="149"/>
      <c r="AS237" s="149"/>
      <c r="AT237" s="149"/>
      <c r="AU237" s="149"/>
      <c r="AV237" s="149"/>
      <c r="AW237" s="149"/>
      <c r="AX237" s="149"/>
      <c r="AY237" s="149"/>
      <c r="AZ237" s="149"/>
      <c r="BA237" s="149"/>
      <c r="BB237" s="149"/>
      <c r="BC237" s="149"/>
      <c r="BD237" s="149"/>
      <c r="BE237" s="149"/>
      <c r="BF237" s="149"/>
      <c r="BG237" s="149"/>
    </row>
    <row r="238" spans="1:59">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c r="AG238" s="149"/>
      <c r="AH238" s="149"/>
      <c r="AI238" s="149"/>
      <c r="AJ238" s="149"/>
      <c r="AK238" s="149"/>
      <c r="AL238" s="149"/>
      <c r="AM238" s="149"/>
      <c r="AN238" s="149"/>
      <c r="AO238" s="149"/>
      <c r="AP238" s="149"/>
      <c r="AQ238" s="149"/>
      <c r="AR238" s="149"/>
      <c r="AS238" s="149"/>
      <c r="AT238" s="149"/>
      <c r="AU238" s="149"/>
      <c r="AV238" s="149"/>
      <c r="AW238" s="149"/>
      <c r="AX238" s="149"/>
      <c r="AY238" s="149"/>
      <c r="AZ238" s="149"/>
      <c r="BA238" s="149"/>
      <c r="BB238" s="149"/>
      <c r="BC238" s="149"/>
      <c r="BD238" s="149"/>
      <c r="BE238" s="149"/>
      <c r="BF238" s="149"/>
      <c r="BG238" s="149"/>
    </row>
    <row r="239" spans="1:59">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c r="AF239" s="149"/>
      <c r="AG239" s="149"/>
      <c r="AH239" s="149"/>
      <c r="AI239" s="149"/>
      <c r="AJ239" s="149"/>
      <c r="AK239" s="149"/>
      <c r="AL239" s="149"/>
      <c r="AM239" s="149"/>
      <c r="AN239" s="149"/>
      <c r="AO239" s="149"/>
      <c r="AP239" s="149"/>
      <c r="AQ239" s="149"/>
      <c r="AR239" s="149"/>
      <c r="AS239" s="149"/>
      <c r="AT239" s="149"/>
      <c r="AU239" s="149"/>
      <c r="AV239" s="149"/>
      <c r="AW239" s="149"/>
      <c r="AX239" s="149"/>
      <c r="AY239" s="149"/>
      <c r="AZ239" s="149"/>
      <c r="BA239" s="149"/>
      <c r="BB239" s="149"/>
      <c r="BC239" s="149"/>
      <c r="BD239" s="149"/>
      <c r="BE239" s="149"/>
      <c r="BF239" s="149"/>
      <c r="BG239" s="149"/>
    </row>
    <row r="240" spans="1:59">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c r="AG240" s="149"/>
      <c r="AH240" s="149"/>
      <c r="AI240" s="149"/>
      <c r="AJ240" s="149"/>
      <c r="AK240" s="149"/>
      <c r="AL240" s="149"/>
      <c r="AM240" s="149"/>
      <c r="AN240" s="149"/>
      <c r="AO240" s="149"/>
      <c r="AP240" s="149"/>
      <c r="AQ240" s="149"/>
      <c r="AR240" s="149"/>
      <c r="AS240" s="149"/>
      <c r="AT240" s="149"/>
      <c r="AU240" s="149"/>
      <c r="AV240" s="149"/>
      <c r="AW240" s="149"/>
      <c r="AX240" s="149"/>
      <c r="AY240" s="149"/>
      <c r="AZ240" s="149"/>
      <c r="BA240" s="149"/>
      <c r="BB240" s="149"/>
      <c r="BC240" s="149"/>
      <c r="BD240" s="149"/>
      <c r="BE240" s="149"/>
      <c r="BF240" s="149"/>
      <c r="BG240" s="149"/>
    </row>
    <row r="241" spans="1:59">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c r="AF241" s="149"/>
      <c r="AG241" s="149"/>
      <c r="AH241" s="149"/>
      <c r="AI241" s="149"/>
      <c r="AJ241" s="149"/>
      <c r="AK241" s="149"/>
      <c r="AL241" s="149"/>
      <c r="AM241" s="149"/>
      <c r="AN241" s="149"/>
      <c r="AO241" s="149"/>
      <c r="AP241" s="149"/>
      <c r="AQ241" s="149"/>
      <c r="AR241" s="149"/>
      <c r="AS241" s="149"/>
      <c r="AT241" s="149"/>
      <c r="AU241" s="149"/>
      <c r="AV241" s="149"/>
      <c r="AW241" s="149"/>
      <c r="AX241" s="149"/>
      <c r="AY241" s="149"/>
      <c r="AZ241" s="149"/>
      <c r="BA241" s="149"/>
      <c r="BB241" s="149"/>
      <c r="BC241" s="149"/>
      <c r="BD241" s="149"/>
      <c r="BE241" s="149"/>
      <c r="BF241" s="149"/>
      <c r="BG241" s="149"/>
    </row>
    <row r="242" spans="1:59">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c r="AG242" s="149"/>
      <c r="AH242" s="149"/>
      <c r="AI242" s="149"/>
      <c r="AJ242" s="149"/>
      <c r="AK242" s="149"/>
      <c r="AL242" s="149"/>
      <c r="AM242" s="149"/>
      <c r="AN242" s="149"/>
      <c r="AO242" s="149"/>
      <c r="AP242" s="149"/>
      <c r="AQ242" s="149"/>
      <c r="AR242" s="149"/>
      <c r="AS242" s="149"/>
      <c r="AT242" s="149"/>
      <c r="AU242" s="149"/>
      <c r="AV242" s="149"/>
      <c r="AW242" s="149"/>
      <c r="AX242" s="149"/>
      <c r="AY242" s="149"/>
      <c r="AZ242" s="149"/>
      <c r="BA242" s="149"/>
      <c r="BB242" s="149"/>
      <c r="BC242" s="149"/>
      <c r="BD242" s="149"/>
      <c r="BE242" s="149"/>
      <c r="BF242" s="149"/>
      <c r="BG242" s="149"/>
    </row>
    <row r="243" spans="1:59">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c r="AG243" s="149"/>
      <c r="AH243" s="149"/>
      <c r="AI243" s="149"/>
      <c r="AJ243" s="149"/>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row>
    <row r="244" spans="1:59">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row>
    <row r="245" spans="1:59">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c r="AF245" s="149"/>
      <c r="AG245" s="149"/>
      <c r="AH245" s="149"/>
      <c r="AI245" s="149"/>
      <c r="AJ245" s="149"/>
      <c r="AK245" s="149"/>
      <c r="AL245" s="149"/>
      <c r="AM245" s="149"/>
      <c r="AN245" s="149"/>
      <c r="AO245" s="149"/>
      <c r="AP245" s="149"/>
      <c r="AQ245" s="149"/>
      <c r="AR245" s="149"/>
      <c r="AS245" s="149"/>
      <c r="AT245" s="149"/>
      <c r="AU245" s="149"/>
      <c r="AV245" s="149"/>
      <c r="AW245" s="149"/>
      <c r="AX245" s="149"/>
      <c r="AY245" s="149"/>
      <c r="AZ245" s="149"/>
      <c r="BA245" s="149"/>
      <c r="BB245" s="149"/>
      <c r="BC245" s="149"/>
      <c r="BD245" s="149"/>
      <c r="BE245" s="149"/>
      <c r="BF245" s="149"/>
      <c r="BG245" s="149"/>
    </row>
    <row r="246" spans="1:59">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c r="AG246" s="149"/>
      <c r="AH246" s="149"/>
      <c r="AI246" s="149"/>
      <c r="AJ246" s="149"/>
      <c r="AK246" s="149"/>
      <c r="AL246" s="149"/>
      <c r="AM246" s="149"/>
      <c r="AN246" s="149"/>
      <c r="AO246" s="149"/>
      <c r="AP246" s="149"/>
      <c r="AQ246" s="149"/>
      <c r="AR246" s="149"/>
      <c r="AS246" s="149"/>
      <c r="AT246" s="149"/>
      <c r="AU246" s="149"/>
      <c r="AV246" s="149"/>
      <c r="AW246" s="149"/>
      <c r="AX246" s="149"/>
      <c r="AY246" s="149"/>
      <c r="AZ246" s="149"/>
      <c r="BA246" s="149"/>
      <c r="BB246" s="149"/>
      <c r="BC246" s="149"/>
      <c r="BD246" s="149"/>
      <c r="BE246" s="149"/>
      <c r="BF246" s="149"/>
      <c r="BG246" s="149"/>
    </row>
    <row r="247" spans="1:59">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c r="AG247" s="149"/>
      <c r="AH247" s="149"/>
      <c r="AI247" s="149"/>
      <c r="AJ247" s="149"/>
      <c r="AK247" s="149"/>
      <c r="AL247" s="149"/>
      <c r="AM247" s="149"/>
      <c r="AN247" s="149"/>
      <c r="AO247" s="149"/>
      <c r="AP247" s="149"/>
      <c r="AQ247" s="149"/>
      <c r="AR247" s="149"/>
      <c r="AS247" s="149"/>
      <c r="AT247" s="149"/>
      <c r="AU247" s="149"/>
      <c r="AV247" s="149"/>
      <c r="AW247" s="149"/>
      <c r="AX247" s="149"/>
      <c r="AY247" s="149"/>
      <c r="AZ247" s="149"/>
      <c r="BA247" s="149"/>
      <c r="BB247" s="149"/>
      <c r="BC247" s="149"/>
      <c r="BD247" s="149"/>
      <c r="BE247" s="149"/>
      <c r="BF247" s="149"/>
      <c r="BG247" s="149"/>
    </row>
    <row r="248" spans="1:59">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c r="AG248" s="149"/>
      <c r="AH248" s="149"/>
      <c r="AI248" s="149"/>
      <c r="AJ248" s="149"/>
      <c r="AK248" s="149"/>
      <c r="AL248" s="149"/>
      <c r="AM248" s="149"/>
      <c r="AN248" s="149"/>
      <c r="AO248" s="149"/>
      <c r="AP248" s="149"/>
      <c r="AQ248" s="149"/>
      <c r="AR248" s="149"/>
      <c r="AS248" s="149"/>
      <c r="AT248" s="149"/>
      <c r="AU248" s="149"/>
      <c r="AV248" s="149"/>
      <c r="AW248" s="149"/>
      <c r="AX248" s="149"/>
      <c r="AY248" s="149"/>
      <c r="AZ248" s="149"/>
      <c r="BA248" s="149"/>
      <c r="BB248" s="149"/>
      <c r="BC248" s="149"/>
      <c r="BD248" s="149"/>
      <c r="BE248" s="149"/>
      <c r="BF248" s="149"/>
      <c r="BG248" s="149"/>
    </row>
    <row r="249" spans="1:59">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49"/>
      <c r="AF249" s="149"/>
      <c r="AG249" s="149"/>
      <c r="AH249" s="149"/>
      <c r="AI249" s="149"/>
      <c r="AJ249" s="149"/>
      <c r="AK249" s="149"/>
      <c r="AL249" s="149"/>
      <c r="AM249" s="149"/>
      <c r="AN249" s="149"/>
      <c r="AO249" s="149"/>
      <c r="AP249" s="149"/>
      <c r="AQ249" s="149"/>
      <c r="AR249" s="149"/>
      <c r="AS249" s="149"/>
      <c r="AT249" s="149"/>
      <c r="AU249" s="149"/>
      <c r="AV249" s="149"/>
      <c r="AW249" s="149"/>
      <c r="AX249" s="149"/>
      <c r="AY249" s="149"/>
      <c r="AZ249" s="149"/>
      <c r="BA249" s="149"/>
      <c r="BB249" s="149"/>
      <c r="BC249" s="149"/>
      <c r="BD249" s="149"/>
      <c r="BE249" s="149"/>
      <c r="BF249" s="149"/>
      <c r="BG249" s="149"/>
    </row>
    <row r="250" spans="1:59">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c r="AF250" s="149"/>
      <c r="AG250" s="149"/>
      <c r="AH250" s="149"/>
      <c r="AI250" s="149"/>
      <c r="AJ250" s="149"/>
      <c r="AK250" s="149"/>
      <c r="AL250" s="149"/>
      <c r="AM250" s="149"/>
      <c r="AN250" s="149"/>
      <c r="AO250" s="149"/>
      <c r="AP250" s="149"/>
      <c r="AQ250" s="149"/>
      <c r="AR250" s="149"/>
      <c r="AS250" s="149"/>
      <c r="AT250" s="149"/>
      <c r="AU250" s="149"/>
      <c r="AV250" s="149"/>
      <c r="AW250" s="149"/>
      <c r="AX250" s="149"/>
      <c r="AY250" s="149"/>
      <c r="AZ250" s="149"/>
      <c r="BA250" s="149"/>
      <c r="BB250" s="149"/>
      <c r="BC250" s="149"/>
      <c r="BD250" s="149"/>
      <c r="BE250" s="149"/>
      <c r="BF250" s="149"/>
      <c r="BG250" s="149"/>
    </row>
    <row r="251" spans="1:59">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c r="AF251" s="149"/>
      <c r="AG251" s="149"/>
      <c r="AH251" s="149"/>
      <c r="AI251" s="149"/>
      <c r="AJ251" s="149"/>
      <c r="AK251" s="149"/>
      <c r="AL251" s="149"/>
      <c r="AM251" s="149"/>
      <c r="AN251" s="149"/>
      <c r="AO251" s="149"/>
      <c r="AP251" s="149"/>
      <c r="AQ251" s="149"/>
      <c r="AR251" s="149"/>
      <c r="AS251" s="149"/>
      <c r="AT251" s="149"/>
      <c r="AU251" s="149"/>
      <c r="AV251" s="149"/>
      <c r="AW251" s="149"/>
      <c r="AX251" s="149"/>
      <c r="AY251" s="149"/>
      <c r="AZ251" s="149"/>
      <c r="BA251" s="149"/>
      <c r="BB251" s="149"/>
      <c r="BC251" s="149"/>
      <c r="BD251" s="149"/>
      <c r="BE251" s="149"/>
      <c r="BF251" s="149"/>
      <c r="BG251" s="149"/>
    </row>
    <row r="252" spans="1:59">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49"/>
      <c r="AF252" s="149"/>
      <c r="AG252" s="149"/>
      <c r="AH252" s="149"/>
      <c r="AI252" s="149"/>
      <c r="AJ252" s="149"/>
      <c r="AK252" s="149"/>
      <c r="AL252" s="149"/>
      <c r="AM252" s="149"/>
      <c r="AN252" s="149"/>
      <c r="AO252" s="149"/>
      <c r="AP252" s="149"/>
      <c r="AQ252" s="149"/>
      <c r="AR252" s="149"/>
      <c r="AS252" s="149"/>
      <c r="AT252" s="149"/>
      <c r="AU252" s="149"/>
      <c r="AV252" s="149"/>
      <c r="AW252" s="149"/>
      <c r="AX252" s="149"/>
      <c r="AY252" s="149"/>
      <c r="AZ252" s="149"/>
      <c r="BA252" s="149"/>
      <c r="BB252" s="149"/>
      <c r="BC252" s="149"/>
      <c r="BD252" s="149"/>
      <c r="BE252" s="149"/>
      <c r="BF252" s="149"/>
      <c r="BG252" s="149"/>
    </row>
    <row r="253" spans="1:59">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49"/>
      <c r="AF253" s="149"/>
      <c r="AG253" s="149"/>
      <c r="AH253" s="149"/>
      <c r="AI253" s="149"/>
      <c r="AJ253" s="149"/>
      <c r="AK253" s="149"/>
      <c r="AL253" s="149"/>
      <c r="AM253" s="149"/>
      <c r="AN253" s="149"/>
      <c r="AO253" s="149"/>
      <c r="AP253" s="149"/>
      <c r="AQ253" s="149"/>
      <c r="AR253" s="149"/>
      <c r="AS253" s="149"/>
      <c r="AT253" s="149"/>
      <c r="AU253" s="149"/>
      <c r="AV253" s="149"/>
      <c r="AW253" s="149"/>
      <c r="AX253" s="149"/>
      <c r="AY253" s="149"/>
      <c r="AZ253" s="149"/>
      <c r="BA253" s="149"/>
      <c r="BB253" s="149"/>
      <c r="BC253" s="149"/>
      <c r="BD253" s="149"/>
      <c r="BE253" s="149"/>
      <c r="BF253" s="149"/>
      <c r="BG253" s="149"/>
    </row>
    <row r="254" spans="1:59">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49"/>
      <c r="AF254" s="149"/>
      <c r="AG254" s="149"/>
      <c r="AH254" s="149"/>
      <c r="AI254" s="149"/>
      <c r="AJ254" s="149"/>
      <c r="AK254" s="149"/>
      <c r="AL254" s="149"/>
      <c r="AM254" s="149"/>
      <c r="AN254" s="149"/>
      <c r="AO254" s="149"/>
      <c r="AP254" s="149"/>
      <c r="AQ254" s="149"/>
      <c r="AR254" s="149"/>
      <c r="AS254" s="149"/>
      <c r="AT254" s="149"/>
      <c r="AU254" s="149"/>
      <c r="AV254" s="149"/>
      <c r="AW254" s="149"/>
      <c r="AX254" s="149"/>
      <c r="AY254" s="149"/>
      <c r="AZ254" s="149"/>
      <c r="BA254" s="149"/>
      <c r="BB254" s="149"/>
      <c r="BC254" s="149"/>
      <c r="BD254" s="149"/>
      <c r="BE254" s="149"/>
      <c r="BF254" s="149"/>
      <c r="BG254" s="149"/>
    </row>
    <row r="255" spans="1:59">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49"/>
      <c r="AF255" s="149"/>
      <c r="AG255" s="149"/>
      <c r="AH255" s="149"/>
      <c r="AI255" s="149"/>
      <c r="AJ255" s="149"/>
      <c r="AK255" s="149"/>
      <c r="AL255" s="149"/>
      <c r="AM255" s="149"/>
      <c r="AN255" s="149"/>
      <c r="AO255" s="149"/>
      <c r="AP255" s="149"/>
      <c r="AQ255" s="149"/>
      <c r="AR255" s="149"/>
      <c r="AS255" s="149"/>
      <c r="AT255" s="149"/>
      <c r="AU255" s="149"/>
      <c r="AV255" s="149"/>
      <c r="AW255" s="149"/>
      <c r="AX255" s="149"/>
      <c r="AY255" s="149"/>
      <c r="AZ255" s="149"/>
      <c r="BA255" s="149"/>
      <c r="BB255" s="149"/>
      <c r="BC255" s="149"/>
      <c r="BD255" s="149"/>
      <c r="BE255" s="149"/>
      <c r="BF255" s="149"/>
      <c r="BG255" s="149"/>
    </row>
    <row r="256" spans="1:59">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C256" s="149"/>
      <c r="AD256" s="149"/>
      <c r="AE256" s="149"/>
      <c r="AF256" s="149"/>
      <c r="AG256" s="149"/>
      <c r="AH256" s="149"/>
      <c r="AI256" s="149"/>
      <c r="AJ256" s="149"/>
      <c r="AK256" s="149"/>
      <c r="AL256" s="149"/>
      <c r="AM256" s="149"/>
      <c r="AN256" s="149"/>
      <c r="AO256" s="149"/>
      <c r="AP256" s="149"/>
      <c r="AQ256" s="149"/>
      <c r="AR256" s="149"/>
      <c r="AS256" s="149"/>
      <c r="AT256" s="149"/>
      <c r="AU256" s="149"/>
      <c r="AV256" s="149"/>
      <c r="AW256" s="149"/>
      <c r="AX256" s="149"/>
      <c r="AY256" s="149"/>
      <c r="AZ256" s="149"/>
      <c r="BA256" s="149"/>
      <c r="BB256" s="149"/>
      <c r="BC256" s="149"/>
      <c r="BD256" s="149"/>
      <c r="BE256" s="149"/>
      <c r="BF256" s="149"/>
      <c r="BG256" s="149"/>
    </row>
    <row r="257" spans="1:59">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C257" s="149"/>
      <c r="AD257" s="149"/>
      <c r="AE257" s="149"/>
      <c r="AF257" s="149"/>
      <c r="AG257" s="149"/>
      <c r="AH257" s="149"/>
      <c r="AI257" s="149"/>
      <c r="AJ257" s="149"/>
      <c r="AK257" s="149"/>
      <c r="AL257" s="149"/>
      <c r="AM257" s="149"/>
      <c r="AN257" s="149"/>
      <c r="AO257" s="149"/>
      <c r="AP257" s="149"/>
      <c r="AQ257" s="149"/>
      <c r="AR257" s="149"/>
      <c r="AS257" s="149"/>
      <c r="AT257" s="149"/>
      <c r="AU257" s="149"/>
      <c r="AV257" s="149"/>
      <c r="AW257" s="149"/>
      <c r="AX257" s="149"/>
      <c r="AY257" s="149"/>
      <c r="AZ257" s="149"/>
      <c r="BA257" s="149"/>
      <c r="BB257" s="149"/>
      <c r="BC257" s="149"/>
      <c r="BD257" s="149"/>
      <c r="BE257" s="149"/>
      <c r="BF257" s="149"/>
      <c r="BG257" s="149"/>
    </row>
    <row r="258" spans="1:59">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E258" s="149"/>
      <c r="AF258" s="149"/>
      <c r="AG258" s="149"/>
      <c r="AH258" s="149"/>
      <c r="AI258" s="149"/>
      <c r="AJ258" s="149"/>
      <c r="AK258" s="149"/>
      <c r="AL258" s="149"/>
      <c r="AM258" s="149"/>
      <c r="AN258" s="149"/>
      <c r="AO258" s="149"/>
      <c r="AP258" s="149"/>
      <c r="AQ258" s="149"/>
      <c r="AR258" s="149"/>
      <c r="AS258" s="149"/>
      <c r="AT258" s="149"/>
      <c r="AU258" s="149"/>
      <c r="AV258" s="149"/>
      <c r="AW258" s="149"/>
      <c r="AX258" s="149"/>
      <c r="AY258" s="149"/>
      <c r="AZ258" s="149"/>
      <c r="BA258" s="149"/>
      <c r="BB258" s="149"/>
      <c r="BC258" s="149"/>
      <c r="BD258" s="149"/>
      <c r="BE258" s="149"/>
      <c r="BF258" s="149"/>
      <c r="BG258" s="149"/>
    </row>
    <row r="259" spans="1:59">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E259" s="149"/>
      <c r="AF259" s="149"/>
      <c r="AG259" s="149"/>
      <c r="AH259" s="149"/>
      <c r="AI259" s="149"/>
      <c r="AJ259" s="149"/>
      <c r="AK259" s="149"/>
      <c r="AL259" s="149"/>
      <c r="AM259" s="149"/>
      <c r="AN259" s="149"/>
      <c r="AO259" s="149"/>
      <c r="AP259" s="149"/>
      <c r="AQ259" s="149"/>
      <c r="AR259" s="149"/>
      <c r="AS259" s="149"/>
      <c r="AT259" s="149"/>
      <c r="AU259" s="149"/>
      <c r="AV259" s="149"/>
      <c r="AW259" s="149"/>
      <c r="AX259" s="149"/>
      <c r="AY259" s="149"/>
      <c r="AZ259" s="149"/>
      <c r="BA259" s="149"/>
      <c r="BB259" s="149"/>
      <c r="BC259" s="149"/>
      <c r="BD259" s="149"/>
      <c r="BE259" s="149"/>
      <c r="BF259" s="149"/>
      <c r="BG259" s="149"/>
    </row>
    <row r="260" spans="1:59">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E260" s="149"/>
      <c r="AF260" s="149"/>
      <c r="AG260" s="149"/>
      <c r="AH260" s="149"/>
      <c r="AI260" s="149"/>
      <c r="AJ260" s="149"/>
      <c r="AK260" s="149"/>
      <c r="AL260" s="149"/>
      <c r="AM260" s="149"/>
      <c r="AN260" s="149"/>
      <c r="AO260" s="149"/>
      <c r="AP260" s="149"/>
      <c r="AQ260" s="149"/>
      <c r="AR260" s="149"/>
      <c r="AS260" s="149"/>
      <c r="AT260" s="149"/>
      <c r="AU260" s="149"/>
      <c r="AV260" s="149"/>
      <c r="AW260" s="149"/>
      <c r="AX260" s="149"/>
      <c r="AY260" s="149"/>
      <c r="AZ260" s="149"/>
      <c r="BA260" s="149"/>
      <c r="BB260" s="149"/>
      <c r="BC260" s="149"/>
      <c r="BD260" s="149"/>
      <c r="BE260" s="149"/>
      <c r="BF260" s="149"/>
      <c r="BG260" s="149"/>
    </row>
    <row r="261" spans="1:59">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row>
    <row r="262" spans="1:59">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c r="AL262" s="149"/>
      <c r="AM262" s="149"/>
      <c r="AN262" s="149"/>
      <c r="AO262" s="149"/>
      <c r="AP262" s="149"/>
      <c r="AQ262" s="149"/>
      <c r="AR262" s="149"/>
      <c r="AS262" s="149"/>
      <c r="AT262" s="149"/>
      <c r="AU262" s="149"/>
      <c r="AV262" s="149"/>
      <c r="AW262" s="149"/>
      <c r="AX262" s="149"/>
      <c r="AY262" s="149"/>
      <c r="AZ262" s="149"/>
      <c r="BA262" s="149"/>
      <c r="BB262" s="149"/>
      <c r="BC262" s="149"/>
      <c r="BD262" s="149"/>
      <c r="BE262" s="149"/>
      <c r="BF262" s="149"/>
      <c r="BG262" s="149"/>
    </row>
    <row r="263" spans="1:59">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c r="AF263" s="149"/>
      <c r="AG263" s="149"/>
      <c r="AH263" s="149"/>
      <c r="AI263" s="149"/>
      <c r="AJ263" s="149"/>
      <c r="AK263" s="149"/>
      <c r="AL263" s="149"/>
      <c r="AM263" s="149"/>
      <c r="AN263" s="149"/>
      <c r="AO263" s="149"/>
      <c r="AP263" s="149"/>
      <c r="AQ263" s="149"/>
      <c r="AR263" s="149"/>
      <c r="AS263" s="149"/>
      <c r="AT263" s="149"/>
      <c r="AU263" s="149"/>
      <c r="AV263" s="149"/>
      <c r="AW263" s="149"/>
      <c r="AX263" s="149"/>
      <c r="AY263" s="149"/>
      <c r="AZ263" s="149"/>
      <c r="BA263" s="149"/>
      <c r="BB263" s="149"/>
      <c r="BC263" s="149"/>
      <c r="BD263" s="149"/>
      <c r="BE263" s="149"/>
      <c r="BF263" s="149"/>
      <c r="BG263" s="149"/>
    </row>
    <row r="264" spans="1:59">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c r="AG264" s="149"/>
      <c r="AH264" s="149"/>
      <c r="AI264" s="149"/>
      <c r="AJ264" s="149"/>
      <c r="AK264" s="149"/>
      <c r="AL264" s="149"/>
      <c r="AM264" s="149"/>
      <c r="AN264" s="149"/>
      <c r="AO264" s="149"/>
      <c r="AP264" s="149"/>
      <c r="AQ264" s="149"/>
      <c r="AR264" s="149"/>
      <c r="AS264" s="149"/>
      <c r="AT264" s="149"/>
      <c r="AU264" s="149"/>
      <c r="AV264" s="149"/>
      <c r="AW264" s="149"/>
      <c r="AX264" s="149"/>
      <c r="AY264" s="149"/>
      <c r="AZ264" s="149"/>
      <c r="BA264" s="149"/>
      <c r="BB264" s="149"/>
      <c r="BC264" s="149"/>
      <c r="BD264" s="149"/>
      <c r="BE264" s="149"/>
      <c r="BF264" s="149"/>
      <c r="BG264" s="149"/>
    </row>
    <row r="265" spans="1:59">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c r="AF265" s="149"/>
      <c r="AG265" s="149"/>
      <c r="AH265" s="149"/>
      <c r="AI265" s="149"/>
      <c r="AJ265" s="149"/>
      <c r="AK265" s="149"/>
      <c r="AL265" s="149"/>
      <c r="AM265" s="149"/>
      <c r="AN265" s="149"/>
      <c r="AO265" s="149"/>
      <c r="AP265" s="149"/>
      <c r="AQ265" s="149"/>
      <c r="AR265" s="149"/>
      <c r="AS265" s="149"/>
      <c r="AT265" s="149"/>
      <c r="AU265" s="149"/>
      <c r="AV265" s="149"/>
      <c r="AW265" s="149"/>
      <c r="AX265" s="149"/>
      <c r="AY265" s="149"/>
      <c r="AZ265" s="149"/>
      <c r="BA265" s="149"/>
      <c r="BB265" s="149"/>
      <c r="BC265" s="149"/>
      <c r="BD265" s="149"/>
      <c r="BE265" s="149"/>
      <c r="BF265" s="149"/>
      <c r="BG265" s="149"/>
    </row>
    <row r="266" spans="1:59">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c r="AL266" s="149"/>
      <c r="AM266" s="149"/>
      <c r="AN266" s="149"/>
      <c r="AO266" s="149"/>
      <c r="AP266" s="149"/>
      <c r="AQ266" s="149"/>
      <c r="AR266" s="149"/>
      <c r="AS266" s="149"/>
      <c r="AT266" s="149"/>
      <c r="AU266" s="149"/>
      <c r="AV266" s="149"/>
      <c r="AW266" s="149"/>
      <c r="AX266" s="149"/>
      <c r="AY266" s="149"/>
      <c r="AZ266" s="149"/>
      <c r="BA266" s="149"/>
      <c r="BB266" s="149"/>
      <c r="BC266" s="149"/>
      <c r="BD266" s="149"/>
      <c r="BE266" s="149"/>
      <c r="BF266" s="149"/>
      <c r="BG266" s="149"/>
    </row>
    <row r="267" spans="1:59">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c r="AG267" s="149"/>
      <c r="AH267" s="149"/>
      <c r="AI267" s="149"/>
      <c r="AJ267" s="149"/>
      <c r="AK267" s="149"/>
      <c r="AL267" s="149"/>
      <c r="AM267" s="149"/>
      <c r="AN267" s="149"/>
      <c r="AO267" s="149"/>
      <c r="AP267" s="149"/>
      <c r="AQ267" s="149"/>
      <c r="AR267" s="149"/>
      <c r="AS267" s="149"/>
      <c r="AT267" s="149"/>
      <c r="AU267" s="149"/>
      <c r="AV267" s="149"/>
      <c r="AW267" s="149"/>
      <c r="AX267" s="149"/>
      <c r="AY267" s="149"/>
      <c r="AZ267" s="149"/>
      <c r="BA267" s="149"/>
      <c r="BB267" s="149"/>
      <c r="BC267" s="149"/>
      <c r="BD267" s="149"/>
      <c r="BE267" s="149"/>
      <c r="BF267" s="149"/>
      <c r="BG267" s="149"/>
    </row>
    <row r="268" spans="1:59">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c r="AG268" s="149"/>
      <c r="AH268" s="149"/>
      <c r="AI268" s="149"/>
      <c r="AJ268" s="149"/>
      <c r="AK268" s="149"/>
      <c r="AL268" s="149"/>
      <c r="AM268" s="149"/>
      <c r="AN268" s="149"/>
      <c r="AO268" s="149"/>
      <c r="AP268" s="149"/>
      <c r="AQ268" s="149"/>
      <c r="AR268" s="149"/>
      <c r="AS268" s="149"/>
      <c r="AT268" s="149"/>
      <c r="AU268" s="149"/>
      <c r="AV268" s="149"/>
      <c r="AW268" s="149"/>
      <c r="AX268" s="149"/>
      <c r="AY268" s="149"/>
      <c r="AZ268" s="149"/>
      <c r="BA268" s="149"/>
      <c r="BB268" s="149"/>
      <c r="BC268" s="149"/>
      <c r="BD268" s="149"/>
      <c r="BE268" s="149"/>
      <c r="BF268" s="149"/>
      <c r="BG268" s="149"/>
    </row>
    <row r="269" spans="1:59">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c r="AG269" s="149"/>
      <c r="AH269" s="149"/>
      <c r="AI269" s="149"/>
      <c r="AJ269" s="149"/>
      <c r="AK269" s="149"/>
      <c r="AL269" s="149"/>
      <c r="AM269" s="149"/>
      <c r="AN269" s="149"/>
      <c r="AO269" s="149"/>
      <c r="AP269" s="149"/>
      <c r="AQ269" s="149"/>
      <c r="AR269" s="149"/>
      <c r="AS269" s="149"/>
      <c r="AT269" s="149"/>
      <c r="AU269" s="149"/>
      <c r="AV269" s="149"/>
      <c r="AW269" s="149"/>
      <c r="AX269" s="149"/>
      <c r="AY269" s="149"/>
      <c r="AZ269" s="149"/>
      <c r="BA269" s="149"/>
      <c r="BB269" s="149"/>
      <c r="BC269" s="149"/>
      <c r="BD269" s="149"/>
      <c r="BE269" s="149"/>
      <c r="BF269" s="149"/>
      <c r="BG269" s="149"/>
    </row>
    <row r="270" spans="1:59">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E270" s="149"/>
      <c r="AF270" s="149"/>
      <c r="AG270" s="149"/>
      <c r="AH270" s="149"/>
      <c r="AI270" s="149"/>
      <c r="AJ270" s="149"/>
      <c r="AK270" s="149"/>
      <c r="AL270" s="149"/>
      <c r="AM270" s="149"/>
      <c r="AN270" s="149"/>
      <c r="AO270" s="149"/>
      <c r="AP270" s="149"/>
      <c r="AQ270" s="149"/>
      <c r="AR270" s="149"/>
      <c r="AS270" s="149"/>
      <c r="AT270" s="149"/>
      <c r="AU270" s="149"/>
      <c r="AV270" s="149"/>
      <c r="AW270" s="149"/>
      <c r="AX270" s="149"/>
      <c r="AY270" s="149"/>
      <c r="AZ270" s="149"/>
      <c r="BA270" s="149"/>
      <c r="BB270" s="149"/>
      <c r="BC270" s="149"/>
      <c r="BD270" s="149"/>
      <c r="BE270" s="149"/>
      <c r="BF270" s="149"/>
      <c r="BG270" s="149"/>
    </row>
    <row r="271" spans="1:59">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49"/>
      <c r="AF271" s="149"/>
      <c r="AG271" s="149"/>
      <c r="AH271" s="149"/>
      <c r="AI271" s="149"/>
      <c r="AJ271" s="149"/>
      <c r="AK271" s="149"/>
      <c r="AL271" s="149"/>
      <c r="AM271" s="149"/>
      <c r="AN271" s="149"/>
      <c r="AO271" s="149"/>
      <c r="AP271" s="149"/>
      <c r="AQ271" s="149"/>
      <c r="AR271" s="149"/>
      <c r="AS271" s="149"/>
      <c r="AT271" s="149"/>
      <c r="AU271" s="149"/>
      <c r="AV271" s="149"/>
      <c r="AW271" s="149"/>
      <c r="AX271" s="149"/>
      <c r="AY271" s="149"/>
      <c r="AZ271" s="149"/>
      <c r="BA271" s="149"/>
      <c r="BB271" s="149"/>
      <c r="BC271" s="149"/>
      <c r="BD271" s="149"/>
      <c r="BE271" s="149"/>
      <c r="BF271" s="149"/>
      <c r="BG271" s="149"/>
    </row>
    <row r="272" spans="1:59">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c r="X272" s="149"/>
      <c r="Y272" s="149"/>
      <c r="Z272" s="149"/>
      <c r="AA272" s="149"/>
      <c r="AB272" s="149"/>
      <c r="AC272" s="149"/>
      <c r="AD272" s="149"/>
      <c r="AE272" s="149"/>
      <c r="AF272" s="149"/>
      <c r="AG272" s="149"/>
      <c r="AH272" s="149"/>
      <c r="AI272" s="149"/>
      <c r="AJ272" s="149"/>
      <c r="AK272" s="149"/>
      <c r="AL272" s="149"/>
      <c r="AM272" s="149"/>
      <c r="AN272" s="149"/>
      <c r="AO272" s="149"/>
      <c r="AP272" s="149"/>
      <c r="AQ272" s="149"/>
      <c r="AR272" s="149"/>
      <c r="AS272" s="149"/>
      <c r="AT272" s="149"/>
      <c r="AU272" s="149"/>
      <c r="AV272" s="149"/>
      <c r="AW272" s="149"/>
      <c r="AX272" s="149"/>
      <c r="AY272" s="149"/>
      <c r="AZ272" s="149"/>
      <c r="BA272" s="149"/>
      <c r="BB272" s="149"/>
      <c r="BC272" s="149"/>
      <c r="BD272" s="149"/>
      <c r="BE272" s="149"/>
      <c r="BF272" s="149"/>
      <c r="BG272" s="149"/>
    </row>
    <row r="273" spans="1:59">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c r="AB273" s="149"/>
      <c r="AC273" s="149"/>
      <c r="AD273" s="149"/>
      <c r="AE273" s="149"/>
      <c r="AF273" s="149"/>
      <c r="AG273" s="149"/>
      <c r="AH273" s="149"/>
      <c r="AI273" s="149"/>
      <c r="AJ273" s="149"/>
      <c r="AK273" s="149"/>
      <c r="AL273" s="149"/>
      <c r="AM273" s="149"/>
      <c r="AN273" s="149"/>
      <c r="AO273" s="149"/>
      <c r="AP273" s="149"/>
      <c r="AQ273" s="149"/>
      <c r="AR273" s="149"/>
      <c r="AS273" s="149"/>
      <c r="AT273" s="149"/>
      <c r="AU273" s="149"/>
      <c r="AV273" s="149"/>
      <c r="AW273" s="149"/>
      <c r="AX273" s="149"/>
      <c r="AY273" s="149"/>
      <c r="AZ273" s="149"/>
      <c r="BA273" s="149"/>
      <c r="BB273" s="149"/>
      <c r="BC273" s="149"/>
      <c r="BD273" s="149"/>
      <c r="BE273" s="149"/>
      <c r="BF273" s="149"/>
      <c r="BG273" s="149"/>
    </row>
    <row r="274" spans="1:59">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c r="Y274" s="149"/>
      <c r="Z274" s="149"/>
      <c r="AA274" s="149"/>
      <c r="AB274" s="149"/>
      <c r="AC274" s="149"/>
      <c r="AD274" s="149"/>
      <c r="AE274" s="149"/>
      <c r="AF274" s="149"/>
      <c r="AG274" s="149"/>
      <c r="AH274" s="149"/>
      <c r="AI274" s="149"/>
      <c r="AJ274" s="149"/>
      <c r="AK274" s="149"/>
      <c r="AL274" s="149"/>
      <c r="AM274" s="149"/>
      <c r="AN274" s="149"/>
      <c r="AO274" s="149"/>
      <c r="AP274" s="149"/>
      <c r="AQ274" s="149"/>
      <c r="AR274" s="149"/>
      <c r="AS274" s="149"/>
      <c r="AT274" s="149"/>
      <c r="AU274" s="149"/>
      <c r="AV274" s="149"/>
      <c r="AW274" s="149"/>
      <c r="AX274" s="149"/>
      <c r="AY274" s="149"/>
      <c r="AZ274" s="149"/>
      <c r="BA274" s="149"/>
      <c r="BB274" s="149"/>
      <c r="BC274" s="149"/>
      <c r="BD274" s="149"/>
      <c r="BE274" s="149"/>
      <c r="BF274" s="149"/>
      <c r="BG274" s="149"/>
    </row>
    <row r="275" spans="1:59">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c r="AB275" s="149"/>
      <c r="AC275" s="149"/>
      <c r="AD275" s="149"/>
      <c r="AE275" s="149"/>
      <c r="AF275" s="149"/>
      <c r="AG275" s="149"/>
      <c r="AH275" s="149"/>
      <c r="AI275" s="149"/>
      <c r="AJ275" s="149"/>
      <c r="AK275" s="149"/>
      <c r="AL275" s="149"/>
      <c r="AM275" s="149"/>
      <c r="AN275" s="149"/>
      <c r="AO275" s="149"/>
      <c r="AP275" s="149"/>
      <c r="AQ275" s="149"/>
      <c r="AR275" s="149"/>
      <c r="AS275" s="149"/>
      <c r="AT275" s="149"/>
      <c r="AU275" s="149"/>
      <c r="AV275" s="149"/>
      <c r="AW275" s="149"/>
      <c r="AX275" s="149"/>
      <c r="AY275" s="149"/>
      <c r="AZ275" s="149"/>
      <c r="BA275" s="149"/>
      <c r="BB275" s="149"/>
      <c r="BC275" s="149"/>
      <c r="BD275" s="149"/>
      <c r="BE275" s="149"/>
      <c r="BF275" s="149"/>
      <c r="BG275" s="149"/>
    </row>
    <row r="276" spans="1:59">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c r="AE276" s="149"/>
      <c r="AF276" s="149"/>
      <c r="AG276" s="149"/>
      <c r="AH276" s="149"/>
      <c r="AI276" s="149"/>
      <c r="AJ276" s="149"/>
      <c r="AK276" s="149"/>
      <c r="AL276" s="149"/>
      <c r="AM276" s="149"/>
      <c r="AN276" s="149"/>
      <c r="AO276" s="149"/>
      <c r="AP276" s="149"/>
      <c r="AQ276" s="149"/>
      <c r="AR276" s="149"/>
      <c r="AS276" s="149"/>
      <c r="AT276" s="149"/>
      <c r="AU276" s="149"/>
      <c r="AV276" s="149"/>
      <c r="AW276" s="149"/>
      <c r="AX276" s="149"/>
      <c r="AY276" s="149"/>
      <c r="AZ276" s="149"/>
      <c r="BA276" s="149"/>
      <c r="BB276" s="149"/>
      <c r="BC276" s="149"/>
      <c r="BD276" s="149"/>
      <c r="BE276" s="149"/>
      <c r="BF276" s="149"/>
      <c r="BG276" s="149"/>
    </row>
    <row r="277" spans="1:59">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49"/>
      <c r="AF277" s="149"/>
      <c r="AG277" s="149"/>
      <c r="AH277" s="149"/>
      <c r="AI277" s="149"/>
      <c r="AJ277" s="149"/>
      <c r="AK277" s="149"/>
      <c r="AL277" s="149"/>
      <c r="AM277" s="149"/>
      <c r="AN277" s="149"/>
      <c r="AO277" s="149"/>
      <c r="AP277" s="149"/>
      <c r="AQ277" s="149"/>
      <c r="AR277" s="149"/>
      <c r="AS277" s="149"/>
      <c r="AT277" s="149"/>
      <c r="AU277" s="149"/>
      <c r="AV277" s="149"/>
      <c r="AW277" s="149"/>
      <c r="AX277" s="149"/>
      <c r="AY277" s="149"/>
      <c r="AZ277" s="149"/>
      <c r="BA277" s="149"/>
      <c r="BB277" s="149"/>
      <c r="BC277" s="149"/>
      <c r="BD277" s="149"/>
      <c r="BE277" s="149"/>
      <c r="BF277" s="149"/>
      <c r="BG277" s="149"/>
    </row>
    <row r="278" spans="1:59">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149"/>
      <c r="AC278" s="149"/>
      <c r="AD278" s="149"/>
      <c r="AE278" s="149"/>
      <c r="AF278" s="149"/>
      <c r="AG278" s="149"/>
      <c r="AH278" s="149"/>
      <c r="AI278" s="149"/>
      <c r="AJ278" s="149"/>
      <c r="AK278" s="149"/>
      <c r="AL278" s="149"/>
      <c r="AM278" s="149"/>
      <c r="AN278" s="149"/>
      <c r="AO278" s="149"/>
      <c r="AP278" s="149"/>
      <c r="AQ278" s="149"/>
      <c r="AR278" s="149"/>
      <c r="AS278" s="149"/>
      <c r="AT278" s="149"/>
      <c r="AU278" s="149"/>
      <c r="AV278" s="149"/>
      <c r="AW278" s="149"/>
      <c r="AX278" s="149"/>
      <c r="AY278" s="149"/>
      <c r="AZ278" s="149"/>
      <c r="BA278" s="149"/>
      <c r="BB278" s="149"/>
      <c r="BC278" s="149"/>
      <c r="BD278" s="149"/>
      <c r="BE278" s="149"/>
      <c r="BF278" s="149"/>
      <c r="BG278" s="149"/>
    </row>
    <row r="279" spans="1:59">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49"/>
      <c r="AA279" s="149"/>
      <c r="AB279" s="149"/>
      <c r="AC279" s="149"/>
      <c r="AD279" s="149"/>
      <c r="AE279" s="149"/>
      <c r="AF279" s="149"/>
      <c r="AG279" s="149"/>
      <c r="AH279" s="149"/>
      <c r="AI279" s="149"/>
      <c r="AJ279" s="149"/>
      <c r="AK279" s="149"/>
      <c r="AL279" s="149"/>
      <c r="AM279" s="149"/>
      <c r="AN279" s="149"/>
      <c r="AO279" s="149"/>
      <c r="AP279" s="149"/>
      <c r="AQ279" s="149"/>
      <c r="AR279" s="149"/>
      <c r="AS279" s="149"/>
      <c r="AT279" s="149"/>
      <c r="AU279" s="149"/>
      <c r="AV279" s="149"/>
      <c r="AW279" s="149"/>
      <c r="AX279" s="149"/>
      <c r="AY279" s="149"/>
      <c r="AZ279" s="149"/>
      <c r="BA279" s="149"/>
      <c r="BB279" s="149"/>
      <c r="BC279" s="149"/>
      <c r="BD279" s="149"/>
      <c r="BE279" s="149"/>
      <c r="BF279" s="149"/>
      <c r="BG279" s="149"/>
    </row>
    <row r="280" spans="1:59">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c r="X280" s="149"/>
      <c r="Y280" s="149"/>
      <c r="Z280" s="149"/>
      <c r="AA280" s="149"/>
      <c r="AB280" s="149"/>
      <c r="AC280" s="149"/>
      <c r="AD280" s="149"/>
      <c r="AE280" s="149"/>
      <c r="AF280" s="149"/>
      <c r="AG280" s="149"/>
      <c r="AH280" s="149"/>
      <c r="AI280" s="149"/>
      <c r="AJ280" s="149"/>
      <c r="AK280" s="149"/>
      <c r="AL280" s="149"/>
      <c r="AM280" s="149"/>
      <c r="AN280" s="149"/>
      <c r="AO280" s="149"/>
      <c r="AP280" s="149"/>
      <c r="AQ280" s="149"/>
      <c r="AR280" s="149"/>
      <c r="AS280" s="149"/>
      <c r="AT280" s="149"/>
      <c r="AU280" s="149"/>
      <c r="AV280" s="149"/>
      <c r="AW280" s="149"/>
      <c r="AX280" s="149"/>
      <c r="AY280" s="149"/>
      <c r="AZ280" s="149"/>
      <c r="BA280" s="149"/>
      <c r="BB280" s="149"/>
      <c r="BC280" s="149"/>
      <c r="BD280" s="149"/>
      <c r="BE280" s="149"/>
      <c r="BF280" s="149"/>
      <c r="BG280" s="149"/>
    </row>
    <row r="281" spans="1:59">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49"/>
      <c r="AE281" s="149"/>
      <c r="AF281" s="149"/>
      <c r="AG281" s="149"/>
      <c r="AH281" s="149"/>
      <c r="AI281" s="149"/>
      <c r="AJ281" s="149"/>
      <c r="AK281" s="149"/>
      <c r="AL281" s="149"/>
      <c r="AM281" s="149"/>
      <c r="AN281" s="149"/>
      <c r="AO281" s="149"/>
      <c r="AP281" s="149"/>
      <c r="AQ281" s="149"/>
      <c r="AR281" s="149"/>
      <c r="AS281" s="149"/>
      <c r="AT281" s="149"/>
      <c r="AU281" s="149"/>
      <c r="AV281" s="149"/>
      <c r="AW281" s="149"/>
      <c r="AX281" s="149"/>
      <c r="AY281" s="149"/>
      <c r="AZ281" s="149"/>
      <c r="BA281" s="149"/>
      <c r="BB281" s="149"/>
      <c r="BC281" s="149"/>
      <c r="BD281" s="149"/>
      <c r="BE281" s="149"/>
      <c r="BF281" s="149"/>
      <c r="BG281" s="149"/>
    </row>
    <row r="282" spans="1:59">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c r="Y282" s="149"/>
      <c r="Z282" s="149"/>
      <c r="AA282" s="149"/>
      <c r="AB282" s="149"/>
      <c r="AC282" s="149"/>
      <c r="AD282" s="149"/>
      <c r="AE282" s="149"/>
      <c r="AF282" s="149"/>
      <c r="AG282" s="149"/>
      <c r="AH282" s="149"/>
      <c r="AI282" s="149"/>
      <c r="AJ282" s="149"/>
      <c r="AK282" s="149"/>
      <c r="AL282" s="149"/>
      <c r="AM282" s="149"/>
      <c r="AN282" s="149"/>
      <c r="AO282" s="149"/>
      <c r="AP282" s="149"/>
      <c r="AQ282" s="149"/>
      <c r="AR282" s="149"/>
      <c r="AS282" s="149"/>
      <c r="AT282" s="149"/>
      <c r="AU282" s="149"/>
      <c r="AV282" s="149"/>
      <c r="AW282" s="149"/>
      <c r="AX282" s="149"/>
      <c r="AY282" s="149"/>
      <c r="AZ282" s="149"/>
      <c r="BA282" s="149"/>
      <c r="BB282" s="149"/>
      <c r="BC282" s="149"/>
      <c r="BD282" s="149"/>
      <c r="BE282" s="149"/>
      <c r="BF282" s="149"/>
      <c r="BG282" s="149"/>
    </row>
    <row r="283" spans="1:59">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c r="AB283" s="149"/>
      <c r="AC283" s="149"/>
      <c r="AD283" s="149"/>
      <c r="AE283" s="149"/>
      <c r="AF283" s="149"/>
      <c r="AG283" s="149"/>
      <c r="AH283" s="149"/>
      <c r="AI283" s="149"/>
      <c r="AJ283" s="149"/>
      <c r="AK283" s="149"/>
      <c r="AL283" s="149"/>
      <c r="AM283" s="149"/>
      <c r="AN283" s="149"/>
      <c r="AO283" s="149"/>
      <c r="AP283" s="149"/>
      <c r="AQ283" s="149"/>
      <c r="AR283" s="149"/>
      <c r="AS283" s="149"/>
      <c r="AT283" s="149"/>
      <c r="AU283" s="149"/>
      <c r="AV283" s="149"/>
      <c r="AW283" s="149"/>
      <c r="AX283" s="149"/>
      <c r="AY283" s="149"/>
      <c r="AZ283" s="149"/>
      <c r="BA283" s="149"/>
      <c r="BB283" s="149"/>
      <c r="BC283" s="149"/>
      <c r="BD283" s="149"/>
      <c r="BE283" s="149"/>
      <c r="BF283" s="149"/>
      <c r="BG283" s="149"/>
    </row>
    <row r="284" spans="1:59">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c r="AD284" s="149"/>
      <c r="AE284" s="149"/>
      <c r="AF284" s="149"/>
      <c r="AG284" s="149"/>
      <c r="AH284" s="149"/>
      <c r="AI284" s="149"/>
      <c r="AJ284" s="149"/>
      <c r="AK284" s="149"/>
      <c r="AL284" s="149"/>
      <c r="AM284" s="149"/>
      <c r="AN284" s="149"/>
      <c r="AO284" s="149"/>
      <c r="AP284" s="149"/>
      <c r="AQ284" s="149"/>
      <c r="AR284" s="149"/>
      <c r="AS284" s="149"/>
      <c r="AT284" s="149"/>
      <c r="AU284" s="149"/>
      <c r="AV284" s="149"/>
      <c r="AW284" s="149"/>
      <c r="AX284" s="149"/>
      <c r="AY284" s="149"/>
      <c r="AZ284" s="149"/>
      <c r="BA284" s="149"/>
      <c r="BB284" s="149"/>
      <c r="BC284" s="149"/>
      <c r="BD284" s="149"/>
      <c r="BE284" s="149"/>
      <c r="BF284" s="149"/>
      <c r="BG284" s="149"/>
    </row>
    <row r="285" spans="1:59">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49"/>
      <c r="Z285" s="149"/>
      <c r="AA285" s="149"/>
      <c r="AB285" s="149"/>
      <c r="AC285" s="149"/>
      <c r="AD285" s="149"/>
      <c r="AE285" s="149"/>
      <c r="AF285" s="149"/>
      <c r="AG285" s="149"/>
      <c r="AH285" s="149"/>
      <c r="AI285" s="149"/>
      <c r="AJ285" s="149"/>
      <c r="AK285" s="149"/>
      <c r="AL285" s="149"/>
      <c r="AM285" s="149"/>
      <c r="AN285" s="149"/>
      <c r="AO285" s="149"/>
      <c r="AP285" s="149"/>
      <c r="AQ285" s="149"/>
      <c r="AR285" s="149"/>
      <c r="AS285" s="149"/>
      <c r="AT285" s="149"/>
      <c r="AU285" s="149"/>
      <c r="AV285" s="149"/>
      <c r="AW285" s="149"/>
      <c r="AX285" s="149"/>
      <c r="AY285" s="149"/>
      <c r="AZ285" s="149"/>
      <c r="BA285" s="149"/>
      <c r="BB285" s="149"/>
      <c r="BC285" s="149"/>
      <c r="BD285" s="149"/>
      <c r="BE285" s="149"/>
      <c r="BF285" s="149"/>
      <c r="BG285" s="149"/>
    </row>
    <row r="286" spans="1:59">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49"/>
      <c r="Z286" s="149"/>
      <c r="AA286" s="149"/>
      <c r="AB286" s="149"/>
      <c r="AC286" s="149"/>
      <c r="AD286" s="149"/>
      <c r="AE286" s="149"/>
      <c r="AF286" s="149"/>
      <c r="AG286" s="149"/>
      <c r="AH286" s="149"/>
      <c r="AI286" s="149"/>
      <c r="AJ286" s="149"/>
      <c r="AK286" s="149"/>
      <c r="AL286" s="149"/>
      <c r="AM286" s="149"/>
      <c r="AN286" s="149"/>
      <c r="AO286" s="149"/>
      <c r="AP286" s="149"/>
      <c r="AQ286" s="149"/>
      <c r="AR286" s="149"/>
      <c r="AS286" s="149"/>
      <c r="AT286" s="149"/>
      <c r="AU286" s="149"/>
      <c r="AV286" s="149"/>
      <c r="AW286" s="149"/>
      <c r="AX286" s="149"/>
      <c r="AY286" s="149"/>
      <c r="AZ286" s="149"/>
      <c r="BA286" s="149"/>
      <c r="BB286" s="149"/>
      <c r="BC286" s="149"/>
      <c r="BD286" s="149"/>
      <c r="BE286" s="149"/>
      <c r="BF286" s="149"/>
      <c r="BG286" s="149"/>
    </row>
    <row r="287" spans="1:59">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c r="AE287" s="149"/>
      <c r="AF287" s="149"/>
      <c r="AG287" s="149"/>
      <c r="AH287" s="149"/>
      <c r="AI287" s="149"/>
      <c r="AJ287" s="149"/>
      <c r="AK287" s="149"/>
      <c r="AL287" s="149"/>
      <c r="AM287" s="149"/>
      <c r="AN287" s="149"/>
      <c r="AO287" s="149"/>
      <c r="AP287" s="149"/>
      <c r="AQ287" s="149"/>
      <c r="AR287" s="149"/>
      <c r="AS287" s="149"/>
      <c r="AT287" s="149"/>
      <c r="AU287" s="149"/>
      <c r="AV287" s="149"/>
      <c r="AW287" s="149"/>
      <c r="AX287" s="149"/>
      <c r="AY287" s="149"/>
      <c r="AZ287" s="149"/>
      <c r="BA287" s="149"/>
      <c r="BB287" s="149"/>
      <c r="BC287" s="149"/>
      <c r="BD287" s="149"/>
      <c r="BE287" s="149"/>
      <c r="BF287" s="149"/>
      <c r="BG287" s="149"/>
    </row>
    <row r="288" spans="1:59">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c r="AB288" s="149"/>
      <c r="AC288" s="149"/>
      <c r="AD288" s="149"/>
      <c r="AE288" s="149"/>
      <c r="AF288" s="149"/>
      <c r="AG288" s="149"/>
      <c r="AH288" s="149"/>
      <c r="AI288" s="149"/>
      <c r="AJ288" s="149"/>
      <c r="AK288" s="149"/>
      <c r="AL288" s="149"/>
      <c r="AM288" s="149"/>
      <c r="AN288" s="149"/>
      <c r="AO288" s="149"/>
      <c r="AP288" s="149"/>
      <c r="AQ288" s="149"/>
      <c r="AR288" s="149"/>
      <c r="AS288" s="149"/>
      <c r="AT288" s="149"/>
      <c r="AU288" s="149"/>
      <c r="AV288" s="149"/>
      <c r="AW288" s="149"/>
      <c r="AX288" s="149"/>
      <c r="AY288" s="149"/>
      <c r="AZ288" s="149"/>
      <c r="BA288" s="149"/>
      <c r="BB288" s="149"/>
      <c r="BC288" s="149"/>
      <c r="BD288" s="149"/>
      <c r="BE288" s="149"/>
      <c r="BF288" s="149"/>
      <c r="BG288" s="149"/>
    </row>
    <row r="289" spans="1:59">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c r="AB289" s="149"/>
      <c r="AC289" s="149"/>
      <c r="AD289" s="149"/>
      <c r="AE289" s="149"/>
      <c r="AF289" s="149"/>
      <c r="AG289" s="149"/>
      <c r="AH289" s="149"/>
      <c r="AI289" s="149"/>
      <c r="AJ289" s="149"/>
      <c r="AK289" s="149"/>
      <c r="AL289" s="149"/>
      <c r="AM289" s="149"/>
      <c r="AN289" s="149"/>
      <c r="AO289" s="149"/>
      <c r="AP289" s="149"/>
      <c r="AQ289" s="149"/>
      <c r="AR289" s="149"/>
      <c r="AS289" s="149"/>
      <c r="AT289" s="149"/>
      <c r="AU289" s="149"/>
      <c r="AV289" s="149"/>
      <c r="AW289" s="149"/>
      <c r="AX289" s="149"/>
      <c r="AY289" s="149"/>
      <c r="AZ289" s="149"/>
      <c r="BA289" s="149"/>
      <c r="BB289" s="149"/>
      <c r="BC289" s="149"/>
      <c r="BD289" s="149"/>
      <c r="BE289" s="149"/>
      <c r="BF289" s="149"/>
      <c r="BG289" s="149"/>
    </row>
    <row r="290" spans="1:59">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49"/>
      <c r="Z290" s="149"/>
      <c r="AA290" s="149"/>
      <c r="AB290" s="149"/>
      <c r="AC290" s="149"/>
      <c r="AD290" s="149"/>
      <c r="AE290" s="149"/>
      <c r="AF290" s="149"/>
      <c r="AG290" s="149"/>
      <c r="AH290" s="149"/>
      <c r="AI290" s="149"/>
      <c r="AJ290" s="149"/>
      <c r="AK290" s="149"/>
      <c r="AL290" s="149"/>
      <c r="AM290" s="149"/>
      <c r="AN290" s="149"/>
      <c r="AO290" s="149"/>
      <c r="AP290" s="149"/>
      <c r="AQ290" s="149"/>
      <c r="AR290" s="149"/>
      <c r="AS290" s="149"/>
      <c r="AT290" s="149"/>
      <c r="AU290" s="149"/>
      <c r="AV290" s="149"/>
      <c r="AW290" s="149"/>
      <c r="AX290" s="149"/>
      <c r="AY290" s="149"/>
      <c r="AZ290" s="149"/>
      <c r="BA290" s="149"/>
      <c r="BB290" s="149"/>
      <c r="BC290" s="149"/>
      <c r="BD290" s="149"/>
      <c r="BE290" s="149"/>
      <c r="BF290" s="149"/>
      <c r="BG290" s="149"/>
    </row>
    <row r="291" spans="1:59">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49"/>
      <c r="Z291" s="149"/>
      <c r="AA291" s="149"/>
      <c r="AB291" s="149"/>
      <c r="AC291" s="149"/>
      <c r="AD291" s="149"/>
      <c r="AE291" s="149"/>
      <c r="AF291" s="149"/>
      <c r="AG291" s="149"/>
      <c r="AH291" s="149"/>
      <c r="AI291" s="149"/>
      <c r="AJ291" s="149"/>
      <c r="AK291" s="149"/>
      <c r="AL291" s="149"/>
      <c r="AM291" s="149"/>
      <c r="AN291" s="149"/>
      <c r="AO291" s="149"/>
      <c r="AP291" s="149"/>
      <c r="AQ291" s="149"/>
      <c r="AR291" s="149"/>
      <c r="AS291" s="149"/>
      <c r="AT291" s="149"/>
      <c r="AU291" s="149"/>
      <c r="AV291" s="149"/>
      <c r="AW291" s="149"/>
      <c r="AX291" s="149"/>
      <c r="AY291" s="149"/>
      <c r="AZ291" s="149"/>
      <c r="BA291" s="149"/>
      <c r="BB291" s="149"/>
      <c r="BC291" s="149"/>
      <c r="BD291" s="149"/>
      <c r="BE291" s="149"/>
      <c r="BF291" s="149"/>
      <c r="BG291" s="149"/>
    </row>
    <row r="292" spans="1:59">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c r="AG292" s="149"/>
      <c r="AH292" s="149"/>
      <c r="AI292" s="149"/>
      <c r="AJ292" s="149"/>
      <c r="AK292" s="149"/>
      <c r="AL292" s="149"/>
      <c r="AM292" s="149"/>
      <c r="AN292" s="149"/>
      <c r="AO292" s="149"/>
      <c r="AP292" s="149"/>
      <c r="AQ292" s="149"/>
      <c r="AR292" s="149"/>
      <c r="AS292" s="149"/>
      <c r="AT292" s="149"/>
      <c r="AU292" s="149"/>
      <c r="AV292" s="149"/>
      <c r="AW292" s="149"/>
      <c r="AX292" s="149"/>
      <c r="AY292" s="149"/>
      <c r="AZ292" s="149"/>
      <c r="BA292" s="149"/>
      <c r="BB292" s="149"/>
      <c r="BC292" s="149"/>
      <c r="BD292" s="149"/>
      <c r="BE292" s="149"/>
      <c r="BF292" s="149"/>
      <c r="BG292" s="149"/>
    </row>
    <row r="293" spans="1:59">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49"/>
      <c r="Z293" s="149"/>
      <c r="AA293" s="149"/>
      <c r="AB293" s="149"/>
      <c r="AC293" s="149"/>
      <c r="AD293" s="149"/>
      <c r="AE293" s="149"/>
      <c r="AF293" s="149"/>
      <c r="AG293" s="149"/>
      <c r="AH293" s="149"/>
      <c r="AI293" s="149"/>
      <c r="AJ293" s="149"/>
      <c r="AK293" s="149"/>
      <c r="AL293" s="149"/>
      <c r="AM293" s="149"/>
      <c r="AN293" s="149"/>
      <c r="AO293" s="149"/>
      <c r="AP293" s="149"/>
      <c r="AQ293" s="149"/>
      <c r="AR293" s="149"/>
      <c r="AS293" s="149"/>
      <c r="AT293" s="149"/>
      <c r="AU293" s="149"/>
      <c r="AV293" s="149"/>
      <c r="AW293" s="149"/>
      <c r="AX293" s="149"/>
      <c r="AY293" s="149"/>
      <c r="AZ293" s="149"/>
      <c r="BA293" s="149"/>
      <c r="BB293" s="149"/>
      <c r="BC293" s="149"/>
      <c r="BD293" s="149"/>
      <c r="BE293" s="149"/>
      <c r="BF293" s="149"/>
      <c r="BG293" s="149"/>
    </row>
    <row r="294" spans="1:59">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c r="AB294" s="149"/>
      <c r="AC294" s="149"/>
      <c r="AD294" s="149"/>
      <c r="AE294" s="149"/>
      <c r="AF294" s="149"/>
      <c r="AG294" s="149"/>
      <c r="AH294" s="149"/>
      <c r="AI294" s="149"/>
      <c r="AJ294" s="149"/>
      <c r="AK294" s="149"/>
      <c r="AL294" s="149"/>
      <c r="AM294" s="149"/>
      <c r="AN294" s="149"/>
      <c r="AO294" s="149"/>
      <c r="AP294" s="149"/>
      <c r="AQ294" s="149"/>
      <c r="AR294" s="149"/>
      <c r="AS294" s="149"/>
      <c r="AT294" s="149"/>
      <c r="AU294" s="149"/>
      <c r="AV294" s="149"/>
      <c r="AW294" s="149"/>
      <c r="AX294" s="149"/>
      <c r="AY294" s="149"/>
      <c r="AZ294" s="149"/>
      <c r="BA294" s="149"/>
      <c r="BB294" s="149"/>
      <c r="BC294" s="149"/>
      <c r="BD294" s="149"/>
      <c r="BE294" s="149"/>
      <c r="BF294" s="149"/>
      <c r="BG294" s="149"/>
    </row>
    <row r="295" spans="1:59">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49"/>
      <c r="AE295" s="149"/>
      <c r="AF295" s="149"/>
      <c r="AG295" s="149"/>
      <c r="AH295" s="149"/>
      <c r="AI295" s="149"/>
      <c r="AJ295" s="149"/>
      <c r="AK295" s="149"/>
      <c r="AL295" s="149"/>
      <c r="AM295" s="149"/>
      <c r="AN295" s="149"/>
      <c r="AO295" s="149"/>
      <c r="AP295" s="149"/>
      <c r="AQ295" s="149"/>
      <c r="AR295" s="149"/>
      <c r="AS295" s="149"/>
      <c r="AT295" s="149"/>
      <c r="AU295" s="149"/>
      <c r="AV295" s="149"/>
      <c r="AW295" s="149"/>
      <c r="AX295" s="149"/>
      <c r="AY295" s="149"/>
      <c r="AZ295" s="149"/>
      <c r="BA295" s="149"/>
      <c r="BB295" s="149"/>
      <c r="BC295" s="149"/>
      <c r="BD295" s="149"/>
      <c r="BE295" s="149"/>
      <c r="BF295" s="149"/>
      <c r="BG295" s="149"/>
    </row>
    <row r="296" spans="1:59">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149"/>
      <c r="AE296" s="149"/>
      <c r="AF296" s="149"/>
      <c r="AG296" s="149"/>
      <c r="AH296" s="149"/>
      <c r="AI296" s="149"/>
      <c r="AJ296" s="149"/>
      <c r="AK296" s="149"/>
      <c r="AL296" s="149"/>
      <c r="AM296" s="149"/>
      <c r="AN296" s="149"/>
      <c r="AO296" s="149"/>
      <c r="AP296" s="149"/>
      <c r="AQ296" s="149"/>
      <c r="AR296" s="149"/>
      <c r="AS296" s="149"/>
      <c r="AT296" s="149"/>
      <c r="AU296" s="149"/>
      <c r="AV296" s="149"/>
      <c r="AW296" s="149"/>
      <c r="AX296" s="149"/>
      <c r="AY296" s="149"/>
      <c r="AZ296" s="149"/>
      <c r="BA296" s="149"/>
      <c r="BB296" s="149"/>
      <c r="BC296" s="149"/>
      <c r="BD296" s="149"/>
      <c r="BE296" s="149"/>
      <c r="BF296" s="149"/>
      <c r="BG296" s="149"/>
    </row>
    <row r="297" spans="1:59">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c r="AB297" s="149"/>
      <c r="AC297" s="149"/>
      <c r="AD297" s="149"/>
      <c r="AE297" s="149"/>
      <c r="AF297" s="149"/>
      <c r="AG297" s="149"/>
      <c r="AH297" s="149"/>
      <c r="AI297" s="149"/>
      <c r="AJ297" s="149"/>
      <c r="AK297" s="149"/>
      <c r="AL297" s="149"/>
      <c r="AM297" s="149"/>
      <c r="AN297" s="149"/>
      <c r="AO297" s="149"/>
      <c r="AP297" s="149"/>
      <c r="AQ297" s="149"/>
      <c r="AR297" s="149"/>
      <c r="AS297" s="149"/>
      <c r="AT297" s="149"/>
      <c r="AU297" s="149"/>
      <c r="AV297" s="149"/>
      <c r="AW297" s="149"/>
      <c r="AX297" s="149"/>
      <c r="AY297" s="149"/>
      <c r="AZ297" s="149"/>
      <c r="BA297" s="149"/>
      <c r="BB297" s="149"/>
      <c r="BC297" s="149"/>
      <c r="BD297" s="149"/>
      <c r="BE297" s="149"/>
      <c r="BF297" s="149"/>
      <c r="BG297" s="149"/>
    </row>
    <row r="298" spans="1:59">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c r="AB298" s="149"/>
      <c r="AC298" s="149"/>
      <c r="AD298" s="149"/>
      <c r="AE298" s="149"/>
      <c r="AF298" s="149"/>
      <c r="AG298" s="149"/>
      <c r="AH298" s="149"/>
      <c r="AI298" s="149"/>
      <c r="AJ298" s="149"/>
      <c r="AK298" s="149"/>
      <c r="AL298" s="149"/>
      <c r="AM298" s="149"/>
      <c r="AN298" s="149"/>
      <c r="AO298" s="149"/>
      <c r="AP298" s="149"/>
      <c r="AQ298" s="149"/>
      <c r="AR298" s="149"/>
      <c r="AS298" s="149"/>
      <c r="AT298" s="149"/>
      <c r="AU298" s="149"/>
      <c r="AV298" s="149"/>
      <c r="AW298" s="149"/>
      <c r="AX298" s="149"/>
      <c r="AY298" s="149"/>
      <c r="AZ298" s="149"/>
      <c r="BA298" s="149"/>
      <c r="BB298" s="149"/>
      <c r="BC298" s="149"/>
      <c r="BD298" s="149"/>
      <c r="BE298" s="149"/>
      <c r="BF298" s="149"/>
      <c r="BG298" s="149"/>
    </row>
    <row r="299" spans="1:59">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c r="AB299" s="149"/>
      <c r="AC299" s="149"/>
      <c r="AD299" s="149"/>
      <c r="AE299" s="149"/>
      <c r="AF299" s="149"/>
      <c r="AG299" s="149"/>
      <c r="AH299" s="149"/>
      <c r="AI299" s="149"/>
      <c r="AJ299" s="149"/>
      <c r="AK299" s="149"/>
      <c r="AL299" s="149"/>
      <c r="AM299" s="149"/>
      <c r="AN299" s="149"/>
      <c r="AO299" s="149"/>
      <c r="AP299" s="149"/>
      <c r="AQ299" s="149"/>
      <c r="AR299" s="149"/>
      <c r="AS299" s="149"/>
      <c r="AT299" s="149"/>
      <c r="AU299" s="149"/>
      <c r="AV299" s="149"/>
      <c r="AW299" s="149"/>
      <c r="AX299" s="149"/>
      <c r="AY299" s="149"/>
      <c r="AZ299" s="149"/>
      <c r="BA299" s="149"/>
      <c r="BB299" s="149"/>
      <c r="BC299" s="149"/>
      <c r="BD299" s="149"/>
      <c r="BE299" s="149"/>
      <c r="BF299" s="149"/>
      <c r="BG299" s="149"/>
    </row>
    <row r="300" spans="1:59">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49"/>
      <c r="Z300" s="149"/>
      <c r="AA300" s="149"/>
      <c r="AB300" s="149"/>
      <c r="AC300" s="149"/>
      <c r="AD300" s="149"/>
      <c r="AE300" s="149"/>
      <c r="AF300" s="149"/>
      <c r="AG300" s="149"/>
      <c r="AH300" s="149"/>
      <c r="AI300" s="149"/>
      <c r="AJ300" s="149"/>
      <c r="AK300" s="149"/>
      <c r="AL300" s="149"/>
      <c r="AM300" s="149"/>
      <c r="AN300" s="149"/>
      <c r="AO300" s="149"/>
      <c r="AP300" s="149"/>
      <c r="AQ300" s="149"/>
      <c r="AR300" s="149"/>
      <c r="AS300" s="149"/>
      <c r="AT300" s="149"/>
      <c r="AU300" s="149"/>
      <c r="AV300" s="149"/>
      <c r="AW300" s="149"/>
      <c r="AX300" s="149"/>
      <c r="AY300" s="149"/>
      <c r="AZ300" s="149"/>
      <c r="BA300" s="149"/>
      <c r="BB300" s="149"/>
      <c r="BC300" s="149"/>
      <c r="BD300" s="149"/>
      <c r="BE300" s="149"/>
      <c r="BF300" s="149"/>
      <c r="BG300" s="149"/>
    </row>
    <row r="301" spans="1:59">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49"/>
      <c r="Z301" s="149"/>
      <c r="AA301" s="149"/>
      <c r="AB301" s="149"/>
      <c r="AC301" s="149"/>
      <c r="AD301" s="149"/>
      <c r="AE301" s="149"/>
      <c r="AF301" s="149"/>
      <c r="AG301" s="149"/>
      <c r="AH301" s="149"/>
      <c r="AI301" s="149"/>
      <c r="AJ301" s="149"/>
      <c r="AK301" s="149"/>
      <c r="AL301" s="149"/>
      <c r="AM301" s="149"/>
      <c r="AN301" s="149"/>
      <c r="AO301" s="149"/>
      <c r="AP301" s="149"/>
      <c r="AQ301" s="149"/>
      <c r="AR301" s="149"/>
      <c r="AS301" s="149"/>
      <c r="AT301" s="149"/>
      <c r="AU301" s="149"/>
      <c r="AV301" s="149"/>
      <c r="AW301" s="149"/>
      <c r="AX301" s="149"/>
      <c r="AY301" s="149"/>
      <c r="AZ301" s="149"/>
      <c r="BA301" s="149"/>
      <c r="BB301" s="149"/>
      <c r="BC301" s="149"/>
      <c r="BD301" s="149"/>
      <c r="BE301" s="149"/>
      <c r="BF301" s="149"/>
      <c r="BG301" s="149"/>
    </row>
    <row r="302" spans="1:59">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c r="AB302" s="149"/>
      <c r="AC302" s="149"/>
      <c r="AD302" s="149"/>
      <c r="AE302" s="149"/>
      <c r="AF302" s="149"/>
      <c r="AG302" s="149"/>
      <c r="AH302" s="149"/>
      <c r="AI302" s="149"/>
      <c r="AJ302" s="149"/>
      <c r="AK302" s="149"/>
      <c r="AL302" s="149"/>
      <c r="AM302" s="149"/>
      <c r="AN302" s="149"/>
      <c r="AO302" s="149"/>
      <c r="AP302" s="149"/>
      <c r="AQ302" s="149"/>
      <c r="AR302" s="149"/>
      <c r="AS302" s="149"/>
      <c r="AT302" s="149"/>
      <c r="AU302" s="149"/>
      <c r="AV302" s="149"/>
      <c r="AW302" s="149"/>
      <c r="AX302" s="149"/>
      <c r="AY302" s="149"/>
      <c r="AZ302" s="149"/>
      <c r="BA302" s="149"/>
      <c r="BB302" s="149"/>
      <c r="BC302" s="149"/>
      <c r="BD302" s="149"/>
      <c r="BE302" s="149"/>
      <c r="BF302" s="149"/>
      <c r="BG302" s="149"/>
    </row>
    <row r="303" spans="1:59">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c r="AB303" s="149"/>
      <c r="AC303" s="149"/>
      <c r="AD303" s="149"/>
      <c r="AE303" s="149"/>
      <c r="AF303" s="149"/>
      <c r="AG303" s="149"/>
      <c r="AH303" s="149"/>
      <c r="AI303" s="149"/>
      <c r="AJ303" s="149"/>
      <c r="AK303" s="149"/>
      <c r="AL303" s="149"/>
      <c r="AM303" s="149"/>
      <c r="AN303" s="149"/>
      <c r="AO303" s="149"/>
      <c r="AP303" s="149"/>
      <c r="AQ303" s="149"/>
      <c r="AR303" s="149"/>
      <c r="AS303" s="149"/>
      <c r="AT303" s="149"/>
      <c r="AU303" s="149"/>
      <c r="AV303" s="149"/>
      <c r="AW303" s="149"/>
      <c r="AX303" s="149"/>
      <c r="AY303" s="149"/>
      <c r="AZ303" s="149"/>
      <c r="BA303" s="149"/>
      <c r="BB303" s="149"/>
      <c r="BC303" s="149"/>
      <c r="BD303" s="149"/>
      <c r="BE303" s="149"/>
      <c r="BF303" s="149"/>
      <c r="BG303" s="149"/>
    </row>
    <row r="304" spans="1:59">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49"/>
      <c r="Z304" s="149"/>
      <c r="AA304" s="149"/>
      <c r="AB304" s="149"/>
      <c r="AC304" s="149"/>
      <c r="AD304" s="149"/>
      <c r="AE304" s="149"/>
      <c r="AF304" s="149"/>
      <c r="AG304" s="149"/>
      <c r="AH304" s="149"/>
      <c r="AI304" s="149"/>
      <c r="AJ304" s="149"/>
      <c r="AK304" s="149"/>
      <c r="AL304" s="149"/>
      <c r="AM304" s="149"/>
      <c r="AN304" s="149"/>
      <c r="AO304" s="149"/>
      <c r="AP304" s="149"/>
      <c r="AQ304" s="149"/>
      <c r="AR304" s="149"/>
      <c r="AS304" s="149"/>
      <c r="AT304" s="149"/>
      <c r="AU304" s="149"/>
      <c r="AV304" s="149"/>
      <c r="AW304" s="149"/>
      <c r="AX304" s="149"/>
      <c r="AY304" s="149"/>
      <c r="AZ304" s="149"/>
      <c r="BA304" s="149"/>
      <c r="BB304" s="149"/>
      <c r="BC304" s="149"/>
      <c r="BD304" s="149"/>
      <c r="BE304" s="149"/>
      <c r="BF304" s="149"/>
      <c r="BG304" s="149"/>
    </row>
    <row r="305" spans="1:59">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c r="X305" s="149"/>
      <c r="Y305" s="149"/>
      <c r="Z305" s="149"/>
      <c r="AA305" s="149"/>
      <c r="AB305" s="149"/>
      <c r="AC305" s="149"/>
      <c r="AD305" s="149"/>
      <c r="AE305" s="149"/>
      <c r="AF305" s="149"/>
      <c r="AG305" s="149"/>
      <c r="AH305" s="149"/>
      <c r="AI305" s="149"/>
      <c r="AJ305" s="149"/>
      <c r="AK305" s="149"/>
      <c r="AL305" s="149"/>
      <c r="AM305" s="149"/>
      <c r="AN305" s="149"/>
      <c r="AO305" s="149"/>
      <c r="AP305" s="149"/>
      <c r="AQ305" s="149"/>
      <c r="AR305" s="149"/>
      <c r="AS305" s="149"/>
      <c r="AT305" s="149"/>
      <c r="AU305" s="149"/>
      <c r="AV305" s="149"/>
      <c r="AW305" s="149"/>
      <c r="AX305" s="149"/>
      <c r="AY305" s="149"/>
      <c r="AZ305" s="149"/>
      <c r="BA305" s="149"/>
      <c r="BB305" s="149"/>
      <c r="BC305" s="149"/>
      <c r="BD305" s="149"/>
      <c r="BE305" s="149"/>
      <c r="BF305" s="149"/>
      <c r="BG305" s="149"/>
    </row>
    <row r="306" spans="1:59">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149"/>
      <c r="Z306" s="149"/>
      <c r="AA306" s="149"/>
      <c r="AB306" s="149"/>
      <c r="AC306" s="149"/>
      <c r="AD306" s="149"/>
      <c r="AE306" s="149"/>
      <c r="AF306" s="149"/>
      <c r="AG306" s="149"/>
      <c r="AH306" s="149"/>
      <c r="AI306" s="149"/>
      <c r="AJ306" s="149"/>
      <c r="AK306" s="149"/>
      <c r="AL306" s="149"/>
      <c r="AM306" s="149"/>
      <c r="AN306" s="149"/>
      <c r="AO306" s="149"/>
      <c r="AP306" s="149"/>
      <c r="AQ306" s="149"/>
      <c r="AR306" s="149"/>
      <c r="AS306" s="149"/>
      <c r="AT306" s="149"/>
      <c r="AU306" s="149"/>
      <c r="AV306" s="149"/>
      <c r="AW306" s="149"/>
      <c r="AX306" s="149"/>
      <c r="AY306" s="149"/>
      <c r="AZ306" s="149"/>
      <c r="BA306" s="149"/>
      <c r="BB306" s="149"/>
      <c r="BC306" s="149"/>
      <c r="BD306" s="149"/>
      <c r="BE306" s="149"/>
      <c r="BF306" s="149"/>
      <c r="BG306" s="149"/>
    </row>
    <row r="307" spans="1:59">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c r="AB307" s="149"/>
      <c r="AC307" s="149"/>
      <c r="AD307" s="149"/>
      <c r="AE307" s="149"/>
      <c r="AF307" s="149"/>
      <c r="AG307" s="149"/>
      <c r="AH307" s="149"/>
      <c r="AI307" s="149"/>
      <c r="AJ307" s="149"/>
      <c r="AK307" s="149"/>
      <c r="AL307" s="149"/>
      <c r="AM307" s="149"/>
      <c r="AN307" s="149"/>
      <c r="AO307" s="149"/>
      <c r="AP307" s="149"/>
      <c r="AQ307" s="149"/>
      <c r="AR307" s="149"/>
      <c r="AS307" s="149"/>
      <c r="AT307" s="149"/>
      <c r="AU307" s="149"/>
      <c r="AV307" s="149"/>
      <c r="AW307" s="149"/>
      <c r="AX307" s="149"/>
      <c r="AY307" s="149"/>
      <c r="AZ307" s="149"/>
      <c r="BA307" s="149"/>
      <c r="BB307" s="149"/>
      <c r="BC307" s="149"/>
      <c r="BD307" s="149"/>
      <c r="BE307" s="149"/>
      <c r="BF307" s="149"/>
      <c r="BG307" s="149"/>
    </row>
    <row r="308" spans="1:59">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c r="AB308" s="149"/>
      <c r="AC308" s="149"/>
      <c r="AD308" s="149"/>
      <c r="AE308" s="149"/>
      <c r="AF308" s="149"/>
      <c r="AG308" s="149"/>
      <c r="AH308" s="149"/>
      <c r="AI308" s="149"/>
      <c r="AJ308" s="149"/>
      <c r="AK308" s="149"/>
      <c r="AL308" s="149"/>
      <c r="AM308" s="149"/>
      <c r="AN308" s="149"/>
      <c r="AO308" s="149"/>
      <c r="AP308" s="149"/>
      <c r="AQ308" s="149"/>
      <c r="AR308" s="149"/>
      <c r="AS308" s="149"/>
      <c r="AT308" s="149"/>
      <c r="AU308" s="149"/>
      <c r="AV308" s="149"/>
      <c r="AW308" s="149"/>
      <c r="AX308" s="149"/>
      <c r="AY308" s="149"/>
      <c r="AZ308" s="149"/>
      <c r="BA308" s="149"/>
      <c r="BB308" s="149"/>
      <c r="BC308" s="149"/>
      <c r="BD308" s="149"/>
      <c r="BE308" s="149"/>
      <c r="BF308" s="149"/>
      <c r="BG308" s="149"/>
    </row>
    <row r="309" spans="1:59">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c r="AB309" s="149"/>
      <c r="AC309" s="149"/>
      <c r="AD309" s="149"/>
      <c r="AE309" s="149"/>
      <c r="AF309" s="149"/>
      <c r="AG309" s="149"/>
      <c r="AH309" s="149"/>
      <c r="AI309" s="149"/>
      <c r="AJ309" s="149"/>
      <c r="AK309" s="149"/>
      <c r="AL309" s="149"/>
      <c r="AM309" s="149"/>
      <c r="AN309" s="149"/>
      <c r="AO309" s="149"/>
      <c r="AP309" s="149"/>
      <c r="AQ309" s="149"/>
      <c r="AR309" s="149"/>
      <c r="AS309" s="149"/>
      <c r="AT309" s="149"/>
      <c r="AU309" s="149"/>
      <c r="AV309" s="149"/>
      <c r="AW309" s="149"/>
      <c r="AX309" s="149"/>
      <c r="AY309" s="149"/>
      <c r="AZ309" s="149"/>
      <c r="BA309" s="149"/>
      <c r="BB309" s="149"/>
      <c r="BC309" s="149"/>
      <c r="BD309" s="149"/>
      <c r="BE309" s="149"/>
      <c r="BF309" s="149"/>
      <c r="BG309" s="149"/>
    </row>
    <row r="310" spans="1:59">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49"/>
      <c r="Z310" s="149"/>
      <c r="AA310" s="149"/>
      <c r="AB310" s="149"/>
      <c r="AC310" s="149"/>
      <c r="AD310" s="149"/>
      <c r="AE310" s="149"/>
      <c r="AF310" s="149"/>
      <c r="AG310" s="149"/>
      <c r="AH310" s="149"/>
      <c r="AI310" s="149"/>
      <c r="AJ310" s="149"/>
      <c r="AK310" s="149"/>
      <c r="AL310" s="149"/>
      <c r="AM310" s="149"/>
      <c r="AN310" s="149"/>
      <c r="AO310" s="149"/>
      <c r="AP310" s="149"/>
      <c r="AQ310" s="149"/>
      <c r="AR310" s="149"/>
      <c r="AS310" s="149"/>
      <c r="AT310" s="149"/>
      <c r="AU310" s="149"/>
      <c r="AV310" s="149"/>
      <c r="AW310" s="149"/>
      <c r="AX310" s="149"/>
      <c r="AY310" s="149"/>
      <c r="AZ310" s="149"/>
      <c r="BA310" s="149"/>
      <c r="BB310" s="149"/>
      <c r="BC310" s="149"/>
      <c r="BD310" s="149"/>
      <c r="BE310" s="149"/>
      <c r="BF310" s="149"/>
      <c r="BG310" s="149"/>
    </row>
    <row r="311" spans="1:59">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49"/>
      <c r="Z311" s="149"/>
      <c r="AA311" s="149"/>
      <c r="AB311" s="149"/>
      <c r="AC311" s="149"/>
      <c r="AD311" s="149"/>
      <c r="AE311" s="149"/>
      <c r="AF311" s="149"/>
      <c r="AG311" s="149"/>
      <c r="AH311" s="149"/>
      <c r="AI311" s="149"/>
      <c r="AJ311" s="149"/>
      <c r="AK311" s="149"/>
      <c r="AL311" s="149"/>
      <c r="AM311" s="149"/>
      <c r="AN311" s="149"/>
      <c r="AO311" s="149"/>
      <c r="AP311" s="149"/>
      <c r="AQ311" s="149"/>
      <c r="AR311" s="149"/>
      <c r="AS311" s="149"/>
      <c r="AT311" s="149"/>
      <c r="AU311" s="149"/>
      <c r="AV311" s="149"/>
      <c r="AW311" s="149"/>
      <c r="AX311" s="149"/>
      <c r="AY311" s="149"/>
      <c r="AZ311" s="149"/>
      <c r="BA311" s="149"/>
      <c r="BB311" s="149"/>
      <c r="BC311" s="149"/>
      <c r="BD311" s="149"/>
      <c r="BE311" s="149"/>
      <c r="BF311" s="149"/>
      <c r="BG311" s="149"/>
    </row>
    <row r="312" spans="1:59">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49"/>
      <c r="Z312" s="149"/>
      <c r="AA312" s="149"/>
      <c r="AB312" s="149"/>
      <c r="AC312" s="149"/>
      <c r="AD312" s="149"/>
      <c r="AE312" s="149"/>
      <c r="AF312" s="149"/>
      <c r="AG312" s="149"/>
      <c r="AH312" s="149"/>
      <c r="AI312" s="149"/>
      <c r="AJ312" s="149"/>
      <c r="AK312" s="149"/>
      <c r="AL312" s="149"/>
      <c r="AM312" s="149"/>
      <c r="AN312" s="149"/>
      <c r="AO312" s="149"/>
      <c r="AP312" s="149"/>
      <c r="AQ312" s="149"/>
      <c r="AR312" s="149"/>
      <c r="AS312" s="149"/>
      <c r="AT312" s="149"/>
      <c r="AU312" s="149"/>
      <c r="AV312" s="149"/>
      <c r="AW312" s="149"/>
      <c r="AX312" s="149"/>
      <c r="AY312" s="149"/>
      <c r="AZ312" s="149"/>
      <c r="BA312" s="149"/>
      <c r="BB312" s="149"/>
      <c r="BC312" s="149"/>
      <c r="BD312" s="149"/>
      <c r="BE312" s="149"/>
      <c r="BF312" s="149"/>
      <c r="BG312" s="149"/>
    </row>
    <row r="313" spans="1:59">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49"/>
      <c r="Z313" s="149"/>
      <c r="AA313" s="149"/>
      <c r="AB313" s="149"/>
      <c r="AC313" s="149"/>
      <c r="AD313" s="149"/>
      <c r="AE313" s="149"/>
      <c r="AF313" s="149"/>
      <c r="AG313" s="149"/>
      <c r="AH313" s="149"/>
      <c r="AI313" s="149"/>
      <c r="AJ313" s="149"/>
      <c r="AK313" s="149"/>
      <c r="AL313" s="149"/>
      <c r="AM313" s="149"/>
      <c r="AN313" s="149"/>
      <c r="AO313" s="149"/>
      <c r="AP313" s="149"/>
      <c r="AQ313" s="149"/>
      <c r="AR313" s="149"/>
      <c r="AS313" s="149"/>
      <c r="AT313" s="149"/>
      <c r="AU313" s="149"/>
      <c r="AV313" s="149"/>
      <c r="AW313" s="149"/>
      <c r="AX313" s="149"/>
      <c r="AY313" s="149"/>
      <c r="AZ313" s="149"/>
      <c r="BA313" s="149"/>
      <c r="BB313" s="149"/>
      <c r="BC313" s="149"/>
      <c r="BD313" s="149"/>
      <c r="BE313" s="149"/>
      <c r="BF313" s="149"/>
      <c r="BG313" s="149"/>
    </row>
    <row r="314" spans="1:59">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c r="Z314" s="149"/>
      <c r="AA314" s="149"/>
      <c r="AB314" s="149"/>
      <c r="AC314" s="149"/>
      <c r="AD314" s="149"/>
      <c r="AE314" s="149"/>
      <c r="AF314" s="149"/>
      <c r="AG314" s="149"/>
      <c r="AH314" s="149"/>
      <c r="AI314" s="149"/>
      <c r="AJ314" s="149"/>
      <c r="AK314" s="149"/>
      <c r="AL314" s="149"/>
      <c r="AM314" s="149"/>
      <c r="AN314" s="149"/>
      <c r="AO314" s="149"/>
      <c r="AP314" s="149"/>
      <c r="AQ314" s="149"/>
      <c r="AR314" s="149"/>
      <c r="AS314" s="149"/>
      <c r="AT314" s="149"/>
      <c r="AU314" s="149"/>
      <c r="AV314" s="149"/>
      <c r="AW314" s="149"/>
      <c r="AX314" s="149"/>
      <c r="AY314" s="149"/>
      <c r="AZ314" s="149"/>
      <c r="BA314" s="149"/>
      <c r="BB314" s="149"/>
      <c r="BC314" s="149"/>
      <c r="BD314" s="149"/>
      <c r="BE314" s="149"/>
      <c r="BF314" s="149"/>
      <c r="BG314" s="149"/>
    </row>
    <row r="315" spans="1:59">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49"/>
      <c r="Z315" s="149"/>
      <c r="AA315" s="149"/>
      <c r="AB315" s="149"/>
      <c r="AC315" s="149"/>
      <c r="AD315" s="149"/>
      <c r="AE315" s="149"/>
      <c r="AF315" s="149"/>
      <c r="AG315" s="149"/>
      <c r="AH315" s="149"/>
      <c r="AI315" s="149"/>
      <c r="AJ315" s="149"/>
      <c r="AK315" s="149"/>
      <c r="AL315" s="149"/>
      <c r="AM315" s="149"/>
      <c r="AN315" s="149"/>
      <c r="AO315" s="149"/>
      <c r="AP315" s="149"/>
      <c r="AQ315" s="149"/>
      <c r="AR315" s="149"/>
      <c r="AS315" s="149"/>
      <c r="AT315" s="149"/>
      <c r="AU315" s="149"/>
      <c r="AV315" s="149"/>
      <c r="AW315" s="149"/>
      <c r="AX315" s="149"/>
      <c r="AY315" s="149"/>
      <c r="AZ315" s="149"/>
      <c r="BA315" s="149"/>
      <c r="BB315" s="149"/>
      <c r="BC315" s="149"/>
      <c r="BD315" s="149"/>
      <c r="BE315" s="149"/>
      <c r="BF315" s="149"/>
      <c r="BG315" s="149"/>
    </row>
    <row r="316" spans="1:59">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49"/>
      <c r="Z316" s="149"/>
      <c r="AA316" s="149"/>
      <c r="AB316" s="149"/>
      <c r="AC316" s="149"/>
      <c r="AD316" s="149"/>
      <c r="AE316" s="149"/>
      <c r="AF316" s="149"/>
      <c r="AG316" s="149"/>
      <c r="AH316" s="149"/>
      <c r="AI316" s="149"/>
      <c r="AJ316" s="149"/>
      <c r="AK316" s="149"/>
      <c r="AL316" s="149"/>
      <c r="AM316" s="149"/>
      <c r="AN316" s="149"/>
      <c r="AO316" s="149"/>
      <c r="AP316" s="149"/>
      <c r="AQ316" s="149"/>
      <c r="AR316" s="149"/>
      <c r="AS316" s="149"/>
      <c r="AT316" s="149"/>
      <c r="AU316" s="149"/>
      <c r="AV316" s="149"/>
      <c r="AW316" s="149"/>
      <c r="AX316" s="149"/>
      <c r="AY316" s="149"/>
      <c r="AZ316" s="149"/>
      <c r="BA316" s="149"/>
      <c r="BB316" s="149"/>
      <c r="BC316" s="149"/>
      <c r="BD316" s="149"/>
      <c r="BE316" s="149"/>
      <c r="BF316" s="149"/>
      <c r="BG316" s="149"/>
    </row>
    <row r="317" spans="1:59">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49"/>
      <c r="Z317" s="149"/>
      <c r="AA317" s="149"/>
      <c r="AB317" s="149"/>
      <c r="AC317" s="149"/>
      <c r="AD317" s="149"/>
      <c r="AE317" s="149"/>
      <c r="AF317" s="149"/>
      <c r="AG317" s="149"/>
      <c r="AH317" s="149"/>
      <c r="AI317" s="149"/>
      <c r="AJ317" s="149"/>
      <c r="AK317" s="149"/>
      <c r="AL317" s="149"/>
      <c r="AM317" s="149"/>
      <c r="AN317" s="149"/>
      <c r="AO317" s="149"/>
      <c r="AP317" s="149"/>
      <c r="AQ317" s="149"/>
      <c r="AR317" s="149"/>
      <c r="AS317" s="149"/>
      <c r="AT317" s="149"/>
      <c r="AU317" s="149"/>
      <c r="AV317" s="149"/>
      <c r="AW317" s="149"/>
      <c r="AX317" s="149"/>
      <c r="AY317" s="149"/>
      <c r="AZ317" s="149"/>
      <c r="BA317" s="149"/>
      <c r="BB317" s="149"/>
      <c r="BC317" s="149"/>
      <c r="BD317" s="149"/>
      <c r="BE317" s="149"/>
      <c r="BF317" s="149"/>
      <c r="BG317" s="149"/>
    </row>
    <row r="318" spans="1:59">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c r="AB318" s="149"/>
      <c r="AC318" s="149"/>
      <c r="AD318" s="149"/>
      <c r="AE318" s="149"/>
      <c r="AF318" s="149"/>
      <c r="AG318" s="149"/>
      <c r="AH318" s="149"/>
      <c r="AI318" s="149"/>
      <c r="AJ318" s="149"/>
      <c r="AK318" s="149"/>
      <c r="AL318" s="149"/>
      <c r="AM318" s="149"/>
      <c r="AN318" s="149"/>
      <c r="AO318" s="149"/>
      <c r="AP318" s="149"/>
      <c r="AQ318" s="149"/>
      <c r="AR318" s="149"/>
      <c r="AS318" s="149"/>
      <c r="AT318" s="149"/>
      <c r="AU318" s="149"/>
      <c r="AV318" s="149"/>
      <c r="AW318" s="149"/>
      <c r="AX318" s="149"/>
      <c r="AY318" s="149"/>
      <c r="AZ318" s="149"/>
      <c r="BA318" s="149"/>
      <c r="BB318" s="149"/>
      <c r="BC318" s="149"/>
      <c r="BD318" s="149"/>
      <c r="BE318" s="149"/>
      <c r="BF318" s="149"/>
      <c r="BG318" s="149"/>
    </row>
    <row r="319" spans="1:59">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49"/>
      <c r="AA319" s="149"/>
      <c r="AB319" s="149"/>
      <c r="AC319" s="149"/>
      <c r="AD319" s="149"/>
      <c r="AE319" s="149"/>
      <c r="AF319" s="149"/>
      <c r="AG319" s="149"/>
      <c r="AH319" s="149"/>
      <c r="AI319" s="149"/>
      <c r="AJ319" s="149"/>
      <c r="AK319" s="149"/>
      <c r="AL319" s="149"/>
      <c r="AM319" s="149"/>
      <c r="AN319" s="149"/>
      <c r="AO319" s="149"/>
      <c r="AP319" s="149"/>
      <c r="AQ319" s="149"/>
      <c r="AR319" s="149"/>
      <c r="AS319" s="149"/>
      <c r="AT319" s="149"/>
      <c r="AU319" s="149"/>
      <c r="AV319" s="149"/>
      <c r="AW319" s="149"/>
      <c r="AX319" s="149"/>
      <c r="AY319" s="149"/>
      <c r="AZ319" s="149"/>
      <c r="BA319" s="149"/>
      <c r="BB319" s="149"/>
      <c r="BC319" s="149"/>
      <c r="BD319" s="149"/>
      <c r="BE319" s="149"/>
      <c r="BF319" s="149"/>
      <c r="BG319" s="149"/>
    </row>
    <row r="320" spans="1:59">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49"/>
      <c r="AA320" s="149"/>
      <c r="AB320" s="149"/>
      <c r="AC320" s="149"/>
      <c r="AD320" s="149"/>
      <c r="AE320" s="149"/>
      <c r="AF320" s="149"/>
      <c r="AG320" s="149"/>
      <c r="AH320" s="149"/>
      <c r="AI320" s="149"/>
      <c r="AJ320" s="149"/>
      <c r="AK320" s="149"/>
      <c r="AL320" s="149"/>
      <c r="AM320" s="149"/>
      <c r="AN320" s="149"/>
      <c r="AO320" s="149"/>
      <c r="AP320" s="149"/>
      <c r="AQ320" s="149"/>
      <c r="AR320" s="149"/>
      <c r="AS320" s="149"/>
      <c r="AT320" s="149"/>
      <c r="AU320" s="149"/>
      <c r="AV320" s="149"/>
      <c r="AW320" s="149"/>
      <c r="AX320" s="149"/>
      <c r="AY320" s="149"/>
      <c r="AZ320" s="149"/>
      <c r="BA320" s="149"/>
      <c r="BB320" s="149"/>
      <c r="BC320" s="149"/>
      <c r="BD320" s="149"/>
      <c r="BE320" s="149"/>
      <c r="BF320" s="149"/>
      <c r="BG320" s="149"/>
    </row>
    <row r="321" spans="1:59">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49"/>
      <c r="AA321" s="149"/>
      <c r="AB321" s="149"/>
      <c r="AC321" s="149"/>
      <c r="AD321" s="149"/>
      <c r="AE321" s="149"/>
      <c r="AF321" s="149"/>
      <c r="AG321" s="149"/>
      <c r="AH321" s="149"/>
      <c r="AI321" s="149"/>
      <c r="AJ321" s="149"/>
      <c r="AK321" s="149"/>
      <c r="AL321" s="149"/>
      <c r="AM321" s="149"/>
      <c r="AN321" s="149"/>
      <c r="AO321" s="149"/>
      <c r="AP321" s="149"/>
      <c r="AQ321" s="149"/>
      <c r="AR321" s="149"/>
      <c r="AS321" s="149"/>
      <c r="AT321" s="149"/>
      <c r="AU321" s="149"/>
      <c r="AV321" s="149"/>
      <c r="AW321" s="149"/>
      <c r="AX321" s="149"/>
      <c r="AY321" s="149"/>
      <c r="AZ321" s="149"/>
      <c r="BA321" s="149"/>
      <c r="BB321" s="149"/>
      <c r="BC321" s="149"/>
      <c r="BD321" s="149"/>
      <c r="BE321" s="149"/>
      <c r="BF321" s="149"/>
      <c r="BG321" s="149"/>
    </row>
    <row r="322" spans="1:59">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49"/>
      <c r="AA322" s="149"/>
      <c r="AB322" s="149"/>
      <c r="AC322" s="149"/>
      <c r="AD322" s="149"/>
      <c r="AE322" s="149"/>
      <c r="AF322" s="149"/>
      <c r="AG322" s="149"/>
      <c r="AH322" s="149"/>
      <c r="AI322" s="149"/>
      <c r="AJ322" s="149"/>
      <c r="AK322" s="149"/>
      <c r="AL322" s="149"/>
      <c r="AM322" s="149"/>
      <c r="AN322" s="149"/>
      <c r="AO322" s="149"/>
      <c r="AP322" s="149"/>
      <c r="AQ322" s="149"/>
      <c r="AR322" s="149"/>
      <c r="AS322" s="149"/>
      <c r="AT322" s="149"/>
      <c r="AU322" s="149"/>
      <c r="AV322" s="149"/>
      <c r="AW322" s="149"/>
      <c r="AX322" s="149"/>
      <c r="AY322" s="149"/>
      <c r="AZ322" s="149"/>
      <c r="BA322" s="149"/>
      <c r="BB322" s="149"/>
      <c r="BC322" s="149"/>
      <c r="BD322" s="149"/>
      <c r="BE322" s="149"/>
      <c r="BF322" s="149"/>
      <c r="BG322" s="149"/>
    </row>
    <row r="323" spans="1:59">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c r="AB323" s="149"/>
      <c r="AC323" s="149"/>
      <c r="AD323" s="149"/>
      <c r="AE323" s="149"/>
      <c r="AF323" s="149"/>
      <c r="AG323" s="149"/>
      <c r="AH323" s="149"/>
      <c r="AI323" s="149"/>
      <c r="AJ323" s="149"/>
      <c r="AK323" s="149"/>
      <c r="AL323" s="149"/>
      <c r="AM323" s="149"/>
      <c r="AN323" s="149"/>
      <c r="AO323" s="149"/>
      <c r="AP323" s="149"/>
      <c r="AQ323" s="149"/>
      <c r="AR323" s="149"/>
      <c r="AS323" s="149"/>
      <c r="AT323" s="149"/>
      <c r="AU323" s="149"/>
      <c r="AV323" s="149"/>
      <c r="AW323" s="149"/>
      <c r="AX323" s="149"/>
      <c r="AY323" s="149"/>
      <c r="AZ323" s="149"/>
      <c r="BA323" s="149"/>
      <c r="BB323" s="149"/>
      <c r="BC323" s="149"/>
      <c r="BD323" s="149"/>
      <c r="BE323" s="149"/>
      <c r="BF323" s="149"/>
      <c r="BG323" s="149"/>
    </row>
    <row r="324" spans="1:59">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49"/>
      <c r="AA324" s="149"/>
      <c r="AB324" s="149"/>
      <c r="AC324" s="149"/>
      <c r="AD324" s="149"/>
      <c r="AE324" s="149"/>
      <c r="AF324" s="149"/>
      <c r="AG324" s="149"/>
      <c r="AH324" s="149"/>
      <c r="AI324" s="149"/>
      <c r="AJ324" s="149"/>
      <c r="AK324" s="149"/>
      <c r="AL324" s="149"/>
      <c r="AM324" s="149"/>
      <c r="AN324" s="149"/>
      <c r="AO324" s="149"/>
      <c r="AP324" s="149"/>
      <c r="AQ324" s="149"/>
      <c r="AR324" s="149"/>
      <c r="AS324" s="149"/>
      <c r="AT324" s="149"/>
      <c r="AU324" s="149"/>
      <c r="AV324" s="149"/>
      <c r="AW324" s="149"/>
      <c r="AX324" s="149"/>
      <c r="AY324" s="149"/>
      <c r="AZ324" s="149"/>
      <c r="BA324" s="149"/>
      <c r="BB324" s="149"/>
      <c r="BC324" s="149"/>
      <c r="BD324" s="149"/>
      <c r="BE324" s="149"/>
      <c r="BF324" s="149"/>
      <c r="BG324" s="149"/>
    </row>
    <row r="325" spans="1:59">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49"/>
      <c r="AA325" s="149"/>
      <c r="AB325" s="149"/>
      <c r="AC325" s="149"/>
      <c r="AD325" s="149"/>
      <c r="AE325" s="149"/>
      <c r="AF325" s="149"/>
      <c r="AG325" s="149"/>
      <c r="AH325" s="149"/>
      <c r="AI325" s="149"/>
      <c r="AJ325" s="149"/>
      <c r="AK325" s="149"/>
      <c r="AL325" s="149"/>
      <c r="AM325" s="149"/>
      <c r="AN325" s="149"/>
      <c r="AO325" s="149"/>
      <c r="AP325" s="149"/>
      <c r="AQ325" s="149"/>
      <c r="AR325" s="149"/>
      <c r="AS325" s="149"/>
      <c r="AT325" s="149"/>
      <c r="AU325" s="149"/>
      <c r="AV325" s="149"/>
      <c r="AW325" s="149"/>
      <c r="AX325" s="149"/>
      <c r="AY325" s="149"/>
      <c r="AZ325" s="149"/>
      <c r="BA325" s="149"/>
      <c r="BB325" s="149"/>
      <c r="BC325" s="149"/>
      <c r="BD325" s="149"/>
      <c r="BE325" s="149"/>
      <c r="BF325" s="149"/>
      <c r="BG325" s="149"/>
    </row>
    <row r="326" spans="1:59">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49"/>
      <c r="AA326" s="149"/>
      <c r="AB326" s="149"/>
      <c r="AC326" s="149"/>
      <c r="AD326" s="149"/>
      <c r="AE326" s="149"/>
      <c r="AF326" s="149"/>
      <c r="AG326" s="149"/>
      <c r="AH326" s="149"/>
      <c r="AI326" s="149"/>
      <c r="AJ326" s="149"/>
      <c r="AK326" s="149"/>
      <c r="AL326" s="149"/>
      <c r="AM326" s="149"/>
      <c r="AN326" s="149"/>
      <c r="AO326" s="149"/>
      <c r="AP326" s="149"/>
      <c r="AQ326" s="149"/>
      <c r="AR326" s="149"/>
      <c r="AS326" s="149"/>
      <c r="AT326" s="149"/>
      <c r="AU326" s="149"/>
      <c r="AV326" s="149"/>
      <c r="AW326" s="149"/>
      <c r="AX326" s="149"/>
      <c r="AY326" s="149"/>
      <c r="AZ326" s="149"/>
      <c r="BA326" s="149"/>
      <c r="BB326" s="149"/>
      <c r="BC326" s="149"/>
      <c r="BD326" s="149"/>
      <c r="BE326" s="149"/>
      <c r="BF326" s="149"/>
      <c r="BG326" s="149"/>
    </row>
    <row r="327" spans="1:59">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49"/>
      <c r="Z327" s="149"/>
      <c r="AA327" s="149"/>
      <c r="AB327" s="149"/>
      <c r="AC327" s="149"/>
      <c r="AD327" s="149"/>
      <c r="AE327" s="149"/>
      <c r="AF327" s="149"/>
      <c r="AG327" s="149"/>
      <c r="AH327" s="149"/>
      <c r="AI327" s="149"/>
      <c r="AJ327" s="149"/>
      <c r="AK327" s="149"/>
      <c r="AL327" s="149"/>
      <c r="AM327" s="149"/>
      <c r="AN327" s="149"/>
      <c r="AO327" s="149"/>
      <c r="AP327" s="149"/>
      <c r="AQ327" s="149"/>
      <c r="AR327" s="149"/>
      <c r="AS327" s="149"/>
      <c r="AT327" s="149"/>
      <c r="AU327" s="149"/>
      <c r="AV327" s="149"/>
      <c r="AW327" s="149"/>
      <c r="AX327" s="149"/>
      <c r="AY327" s="149"/>
      <c r="AZ327" s="149"/>
      <c r="BA327" s="149"/>
      <c r="BB327" s="149"/>
      <c r="BC327" s="149"/>
      <c r="BD327" s="149"/>
      <c r="BE327" s="149"/>
      <c r="BF327" s="149"/>
      <c r="BG327" s="149"/>
    </row>
    <row r="328" spans="1:59">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49"/>
      <c r="AA328" s="149"/>
      <c r="AB328" s="149"/>
      <c r="AC328" s="149"/>
      <c r="AD328" s="149"/>
      <c r="AE328" s="149"/>
      <c r="AF328" s="149"/>
      <c r="AG328" s="149"/>
      <c r="AH328" s="149"/>
      <c r="AI328" s="149"/>
      <c r="AJ328" s="149"/>
      <c r="AK328" s="149"/>
      <c r="AL328" s="149"/>
      <c r="AM328" s="149"/>
      <c r="AN328" s="149"/>
      <c r="AO328" s="149"/>
      <c r="AP328" s="149"/>
      <c r="AQ328" s="149"/>
      <c r="AR328" s="149"/>
      <c r="AS328" s="149"/>
      <c r="AT328" s="149"/>
      <c r="AU328" s="149"/>
      <c r="AV328" s="149"/>
      <c r="AW328" s="149"/>
      <c r="AX328" s="149"/>
      <c r="AY328" s="149"/>
      <c r="AZ328" s="149"/>
      <c r="BA328" s="149"/>
      <c r="BB328" s="149"/>
      <c r="BC328" s="149"/>
      <c r="BD328" s="149"/>
      <c r="BE328" s="149"/>
      <c r="BF328" s="149"/>
      <c r="BG328" s="149"/>
    </row>
    <row r="329" spans="1:59">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49"/>
      <c r="AA329" s="149"/>
      <c r="AB329" s="149"/>
      <c r="AC329" s="149"/>
      <c r="AD329" s="149"/>
      <c r="AE329" s="149"/>
      <c r="AF329" s="149"/>
      <c r="AG329" s="149"/>
      <c r="AH329" s="149"/>
      <c r="AI329" s="149"/>
      <c r="AJ329" s="149"/>
      <c r="AK329" s="149"/>
      <c r="AL329" s="149"/>
      <c r="AM329" s="149"/>
      <c r="AN329" s="149"/>
      <c r="AO329" s="149"/>
      <c r="AP329" s="149"/>
      <c r="AQ329" s="149"/>
      <c r="AR329" s="149"/>
      <c r="AS329" s="149"/>
      <c r="AT329" s="149"/>
      <c r="AU329" s="149"/>
      <c r="AV329" s="149"/>
      <c r="AW329" s="149"/>
      <c r="AX329" s="149"/>
      <c r="AY329" s="149"/>
      <c r="AZ329" s="149"/>
      <c r="BA329" s="149"/>
      <c r="BB329" s="149"/>
      <c r="BC329" s="149"/>
      <c r="BD329" s="149"/>
      <c r="BE329" s="149"/>
      <c r="BF329" s="149"/>
      <c r="BG329" s="149"/>
    </row>
    <row r="330" spans="1:59">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49"/>
      <c r="AA330" s="149"/>
      <c r="AB330" s="149"/>
      <c r="AC330" s="149"/>
      <c r="AD330" s="149"/>
      <c r="AE330" s="149"/>
      <c r="AF330" s="149"/>
      <c r="AG330" s="149"/>
      <c r="AH330" s="149"/>
      <c r="AI330" s="149"/>
      <c r="AJ330" s="149"/>
      <c r="AK330" s="149"/>
      <c r="AL330" s="149"/>
      <c r="AM330" s="149"/>
      <c r="AN330" s="149"/>
      <c r="AO330" s="149"/>
      <c r="AP330" s="149"/>
      <c r="AQ330" s="149"/>
      <c r="AR330" s="149"/>
      <c r="AS330" s="149"/>
      <c r="AT330" s="149"/>
      <c r="AU330" s="149"/>
      <c r="AV330" s="149"/>
      <c r="AW330" s="149"/>
      <c r="AX330" s="149"/>
      <c r="AY330" s="149"/>
      <c r="AZ330" s="149"/>
      <c r="BA330" s="149"/>
      <c r="BB330" s="149"/>
      <c r="BC330" s="149"/>
      <c r="BD330" s="149"/>
      <c r="BE330" s="149"/>
      <c r="BF330" s="149"/>
      <c r="BG330" s="149"/>
    </row>
    <row r="331" spans="1:59">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c r="X331" s="149"/>
      <c r="Y331" s="149"/>
      <c r="Z331" s="149"/>
      <c r="AA331" s="149"/>
      <c r="AB331" s="149"/>
      <c r="AC331" s="149"/>
      <c r="AD331" s="149"/>
      <c r="AE331" s="149"/>
      <c r="AF331" s="149"/>
      <c r="AG331" s="149"/>
      <c r="AH331" s="149"/>
      <c r="AI331" s="149"/>
      <c r="AJ331" s="149"/>
      <c r="AK331" s="149"/>
      <c r="AL331" s="149"/>
      <c r="AM331" s="149"/>
      <c r="AN331" s="149"/>
      <c r="AO331" s="149"/>
      <c r="AP331" s="149"/>
      <c r="AQ331" s="149"/>
      <c r="AR331" s="149"/>
      <c r="AS331" s="149"/>
      <c r="AT331" s="149"/>
      <c r="AU331" s="149"/>
      <c r="AV331" s="149"/>
      <c r="AW331" s="149"/>
      <c r="AX331" s="149"/>
      <c r="AY331" s="149"/>
      <c r="AZ331" s="149"/>
      <c r="BA331" s="149"/>
      <c r="BB331" s="149"/>
      <c r="BC331" s="149"/>
      <c r="BD331" s="149"/>
      <c r="BE331" s="149"/>
      <c r="BF331" s="149"/>
      <c r="BG331" s="149"/>
    </row>
    <row r="332" spans="1:59">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49"/>
      <c r="AE332" s="149"/>
      <c r="AF332" s="149"/>
      <c r="AG332" s="149"/>
      <c r="AH332" s="149"/>
      <c r="AI332" s="149"/>
      <c r="AJ332" s="149"/>
      <c r="AK332" s="149"/>
      <c r="AL332" s="149"/>
      <c r="AM332" s="149"/>
      <c r="AN332" s="149"/>
      <c r="AO332" s="149"/>
      <c r="AP332" s="149"/>
      <c r="AQ332" s="149"/>
      <c r="AR332" s="149"/>
      <c r="AS332" s="149"/>
      <c r="AT332" s="149"/>
      <c r="AU332" s="149"/>
      <c r="AV332" s="149"/>
      <c r="AW332" s="149"/>
      <c r="AX332" s="149"/>
      <c r="AY332" s="149"/>
      <c r="AZ332" s="149"/>
      <c r="BA332" s="149"/>
      <c r="BB332" s="149"/>
      <c r="BC332" s="149"/>
      <c r="BD332" s="149"/>
      <c r="BE332" s="149"/>
      <c r="BF332" s="149"/>
      <c r="BG332" s="149"/>
    </row>
    <row r="333" spans="1:59">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49"/>
      <c r="AC333" s="149"/>
      <c r="AD333" s="149"/>
      <c r="AE333" s="149"/>
      <c r="AF333" s="149"/>
      <c r="AG333" s="149"/>
      <c r="AH333" s="149"/>
      <c r="AI333" s="149"/>
      <c r="AJ333" s="149"/>
      <c r="AK333" s="149"/>
      <c r="AL333" s="149"/>
      <c r="AM333" s="149"/>
      <c r="AN333" s="149"/>
      <c r="AO333" s="149"/>
      <c r="AP333" s="149"/>
      <c r="AQ333" s="149"/>
      <c r="AR333" s="149"/>
      <c r="AS333" s="149"/>
      <c r="AT333" s="149"/>
      <c r="AU333" s="149"/>
      <c r="AV333" s="149"/>
      <c r="AW333" s="149"/>
      <c r="AX333" s="149"/>
      <c r="AY333" s="149"/>
      <c r="AZ333" s="149"/>
      <c r="BA333" s="149"/>
      <c r="BB333" s="149"/>
      <c r="BC333" s="149"/>
      <c r="BD333" s="149"/>
      <c r="BE333" s="149"/>
      <c r="BF333" s="149"/>
      <c r="BG333" s="149"/>
    </row>
    <row r="334" spans="1:59">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c r="X334" s="149"/>
      <c r="Y334" s="149"/>
      <c r="Z334" s="149"/>
      <c r="AA334" s="149"/>
      <c r="AB334" s="149"/>
      <c r="AC334" s="149"/>
      <c r="AD334" s="149"/>
      <c r="AE334" s="149"/>
      <c r="AF334" s="149"/>
      <c r="AG334" s="149"/>
      <c r="AH334" s="149"/>
      <c r="AI334" s="149"/>
      <c r="AJ334" s="149"/>
      <c r="AK334" s="149"/>
      <c r="AL334" s="149"/>
      <c r="AM334" s="149"/>
      <c r="AN334" s="149"/>
      <c r="AO334" s="149"/>
      <c r="AP334" s="149"/>
      <c r="AQ334" s="149"/>
      <c r="AR334" s="149"/>
      <c r="AS334" s="149"/>
      <c r="AT334" s="149"/>
      <c r="AU334" s="149"/>
      <c r="AV334" s="149"/>
      <c r="AW334" s="149"/>
      <c r="AX334" s="149"/>
      <c r="AY334" s="149"/>
      <c r="AZ334" s="149"/>
      <c r="BA334" s="149"/>
      <c r="BB334" s="149"/>
      <c r="BC334" s="149"/>
      <c r="BD334" s="149"/>
      <c r="BE334" s="149"/>
      <c r="BF334" s="149"/>
      <c r="BG334" s="149"/>
    </row>
    <row r="335" spans="1:59">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c r="X335" s="149"/>
      <c r="Y335" s="149"/>
      <c r="Z335" s="149"/>
      <c r="AA335" s="149"/>
      <c r="AB335" s="149"/>
      <c r="AC335" s="149"/>
      <c r="AD335" s="149"/>
      <c r="AE335" s="149"/>
      <c r="AF335" s="149"/>
      <c r="AG335" s="149"/>
      <c r="AH335" s="149"/>
      <c r="AI335" s="149"/>
      <c r="AJ335" s="149"/>
      <c r="AK335" s="149"/>
      <c r="AL335" s="149"/>
      <c r="AM335" s="149"/>
      <c r="AN335" s="149"/>
      <c r="AO335" s="149"/>
      <c r="AP335" s="149"/>
      <c r="AQ335" s="149"/>
      <c r="AR335" s="149"/>
      <c r="AS335" s="149"/>
      <c r="AT335" s="149"/>
      <c r="AU335" s="149"/>
      <c r="AV335" s="149"/>
      <c r="AW335" s="149"/>
      <c r="AX335" s="149"/>
      <c r="AY335" s="149"/>
      <c r="AZ335" s="149"/>
      <c r="BA335" s="149"/>
      <c r="BB335" s="149"/>
      <c r="BC335" s="149"/>
      <c r="BD335" s="149"/>
      <c r="BE335" s="149"/>
      <c r="BF335" s="149"/>
      <c r="BG335" s="149"/>
    </row>
    <row r="336" spans="1:59">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c r="X336" s="149"/>
      <c r="Y336" s="149"/>
      <c r="Z336" s="149"/>
      <c r="AA336" s="149"/>
      <c r="AB336" s="149"/>
      <c r="AC336" s="149"/>
      <c r="AD336" s="149"/>
      <c r="AE336" s="149"/>
      <c r="AF336" s="149"/>
      <c r="AG336" s="149"/>
      <c r="AH336" s="149"/>
      <c r="AI336" s="149"/>
      <c r="AJ336" s="149"/>
      <c r="AK336" s="149"/>
      <c r="AL336" s="149"/>
      <c r="AM336" s="149"/>
      <c r="AN336" s="149"/>
      <c r="AO336" s="149"/>
      <c r="AP336" s="149"/>
      <c r="AQ336" s="149"/>
      <c r="AR336" s="149"/>
      <c r="AS336" s="149"/>
      <c r="AT336" s="149"/>
      <c r="AU336" s="149"/>
      <c r="AV336" s="149"/>
      <c r="AW336" s="149"/>
      <c r="AX336" s="149"/>
      <c r="AY336" s="149"/>
      <c r="AZ336" s="149"/>
      <c r="BA336" s="149"/>
      <c r="BB336" s="149"/>
      <c r="BC336" s="149"/>
      <c r="BD336" s="149"/>
      <c r="BE336" s="149"/>
      <c r="BF336" s="149"/>
      <c r="BG336" s="149"/>
    </row>
    <row r="337" spans="1:59">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c r="X337" s="149"/>
      <c r="Y337" s="149"/>
      <c r="Z337" s="149"/>
      <c r="AA337" s="149"/>
      <c r="AB337" s="149"/>
      <c r="AC337" s="149"/>
      <c r="AD337" s="149"/>
      <c r="AE337" s="149"/>
      <c r="AF337" s="149"/>
      <c r="AG337" s="149"/>
      <c r="AH337" s="149"/>
      <c r="AI337" s="149"/>
      <c r="AJ337" s="149"/>
      <c r="AK337" s="149"/>
      <c r="AL337" s="149"/>
      <c r="AM337" s="149"/>
      <c r="AN337" s="149"/>
      <c r="AO337" s="149"/>
      <c r="AP337" s="149"/>
      <c r="AQ337" s="149"/>
      <c r="AR337" s="149"/>
      <c r="AS337" s="149"/>
      <c r="AT337" s="149"/>
      <c r="AU337" s="149"/>
      <c r="AV337" s="149"/>
      <c r="AW337" s="149"/>
      <c r="AX337" s="149"/>
      <c r="AY337" s="149"/>
      <c r="AZ337" s="149"/>
      <c r="BA337" s="149"/>
      <c r="BB337" s="149"/>
      <c r="BC337" s="149"/>
      <c r="BD337" s="149"/>
      <c r="BE337" s="149"/>
      <c r="BF337" s="149"/>
      <c r="BG337" s="149"/>
    </row>
    <row r="338" spans="1:59">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49"/>
      <c r="Z338" s="149"/>
      <c r="AA338" s="149"/>
      <c r="AB338" s="149"/>
      <c r="AC338" s="149"/>
      <c r="AD338" s="149"/>
      <c r="AE338" s="149"/>
      <c r="AF338" s="149"/>
      <c r="AG338" s="149"/>
      <c r="AH338" s="149"/>
      <c r="AI338" s="149"/>
      <c r="AJ338" s="149"/>
      <c r="AK338" s="149"/>
      <c r="AL338" s="149"/>
      <c r="AM338" s="149"/>
      <c r="AN338" s="149"/>
      <c r="AO338" s="149"/>
      <c r="AP338" s="149"/>
      <c r="AQ338" s="149"/>
      <c r="AR338" s="149"/>
      <c r="AS338" s="149"/>
      <c r="AT338" s="149"/>
      <c r="AU338" s="149"/>
      <c r="AV338" s="149"/>
      <c r="AW338" s="149"/>
      <c r="AX338" s="149"/>
      <c r="AY338" s="149"/>
      <c r="AZ338" s="149"/>
      <c r="BA338" s="149"/>
      <c r="BB338" s="149"/>
      <c r="BC338" s="149"/>
      <c r="BD338" s="149"/>
      <c r="BE338" s="149"/>
      <c r="BF338" s="149"/>
      <c r="BG338" s="149"/>
    </row>
    <row r="339" spans="1:59">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c r="X339" s="149"/>
      <c r="Y339" s="149"/>
      <c r="Z339" s="149"/>
      <c r="AA339" s="149"/>
      <c r="AB339" s="149"/>
      <c r="AC339" s="149"/>
      <c r="AD339" s="149"/>
      <c r="AE339" s="149"/>
      <c r="AF339" s="149"/>
      <c r="AG339" s="149"/>
      <c r="AH339" s="149"/>
      <c r="AI339" s="149"/>
      <c r="AJ339" s="149"/>
      <c r="AK339" s="149"/>
      <c r="AL339" s="149"/>
      <c r="AM339" s="149"/>
      <c r="AN339" s="149"/>
      <c r="AO339" s="149"/>
      <c r="AP339" s="149"/>
      <c r="AQ339" s="149"/>
      <c r="AR339" s="149"/>
      <c r="AS339" s="149"/>
      <c r="AT339" s="149"/>
      <c r="AU339" s="149"/>
      <c r="AV339" s="149"/>
      <c r="AW339" s="149"/>
      <c r="AX339" s="149"/>
      <c r="AY339" s="149"/>
      <c r="AZ339" s="149"/>
      <c r="BA339" s="149"/>
      <c r="BB339" s="149"/>
      <c r="BC339" s="149"/>
      <c r="BD339" s="149"/>
      <c r="BE339" s="149"/>
      <c r="BF339" s="149"/>
      <c r="BG339" s="149"/>
    </row>
    <row r="340" spans="1:59">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c r="X340" s="149"/>
      <c r="Y340" s="149"/>
      <c r="Z340" s="149"/>
      <c r="AA340" s="149"/>
      <c r="AB340" s="149"/>
      <c r="AC340" s="149"/>
      <c r="AD340" s="149"/>
      <c r="AE340" s="149"/>
      <c r="AF340" s="149"/>
      <c r="AG340" s="149"/>
      <c r="AH340" s="149"/>
      <c r="AI340" s="149"/>
      <c r="AJ340" s="149"/>
      <c r="AK340" s="149"/>
      <c r="AL340" s="149"/>
      <c r="AM340" s="149"/>
      <c r="AN340" s="149"/>
      <c r="AO340" s="149"/>
      <c r="AP340" s="149"/>
      <c r="AQ340" s="149"/>
      <c r="AR340" s="149"/>
      <c r="AS340" s="149"/>
      <c r="AT340" s="149"/>
      <c r="AU340" s="149"/>
      <c r="AV340" s="149"/>
      <c r="AW340" s="149"/>
      <c r="AX340" s="149"/>
      <c r="AY340" s="149"/>
      <c r="AZ340" s="149"/>
      <c r="BA340" s="149"/>
      <c r="BB340" s="149"/>
      <c r="BC340" s="149"/>
      <c r="BD340" s="149"/>
      <c r="BE340" s="149"/>
      <c r="BF340" s="149"/>
      <c r="BG340" s="149"/>
    </row>
    <row r="341" spans="1:59">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c r="X341" s="149"/>
      <c r="Y341" s="149"/>
      <c r="Z341" s="149"/>
      <c r="AA341" s="149"/>
      <c r="AB341" s="149"/>
      <c r="AC341" s="149"/>
      <c r="AD341" s="149"/>
      <c r="AE341" s="149"/>
      <c r="AF341" s="149"/>
      <c r="AG341" s="149"/>
      <c r="AH341" s="149"/>
      <c r="AI341" s="149"/>
      <c r="AJ341" s="149"/>
      <c r="AK341" s="149"/>
      <c r="AL341" s="149"/>
      <c r="AM341" s="149"/>
      <c r="AN341" s="149"/>
      <c r="AO341" s="149"/>
      <c r="AP341" s="149"/>
      <c r="AQ341" s="149"/>
      <c r="AR341" s="149"/>
      <c r="AS341" s="149"/>
      <c r="AT341" s="149"/>
      <c r="AU341" s="149"/>
      <c r="AV341" s="149"/>
      <c r="AW341" s="149"/>
      <c r="AX341" s="149"/>
      <c r="AY341" s="149"/>
      <c r="AZ341" s="149"/>
      <c r="BA341" s="149"/>
      <c r="BB341" s="149"/>
      <c r="BC341" s="149"/>
      <c r="BD341" s="149"/>
      <c r="BE341" s="149"/>
      <c r="BF341" s="149"/>
      <c r="BG341" s="149"/>
    </row>
    <row r="342" spans="1:59">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c r="AB342" s="149"/>
      <c r="AC342" s="149"/>
      <c r="AD342" s="149"/>
      <c r="AE342" s="149"/>
      <c r="AF342" s="149"/>
      <c r="AG342" s="149"/>
      <c r="AH342" s="149"/>
      <c r="AI342" s="149"/>
      <c r="AJ342" s="149"/>
      <c r="AK342" s="149"/>
      <c r="AL342" s="149"/>
      <c r="AM342" s="149"/>
      <c r="AN342" s="149"/>
      <c r="AO342" s="149"/>
      <c r="AP342" s="149"/>
      <c r="AQ342" s="149"/>
      <c r="AR342" s="149"/>
      <c r="AS342" s="149"/>
      <c r="AT342" s="149"/>
      <c r="AU342" s="149"/>
      <c r="AV342" s="149"/>
      <c r="AW342" s="149"/>
      <c r="AX342" s="149"/>
      <c r="AY342" s="149"/>
      <c r="AZ342" s="149"/>
      <c r="BA342" s="149"/>
      <c r="BB342" s="149"/>
      <c r="BC342" s="149"/>
      <c r="BD342" s="149"/>
      <c r="BE342" s="149"/>
      <c r="BF342" s="149"/>
      <c r="BG342" s="149"/>
    </row>
    <row r="343" spans="1:59">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49"/>
      <c r="AA343" s="149"/>
      <c r="AB343" s="149"/>
      <c r="AC343" s="149"/>
      <c r="AD343" s="149"/>
      <c r="AE343" s="149"/>
      <c r="AF343" s="149"/>
      <c r="AG343" s="149"/>
      <c r="AH343" s="149"/>
      <c r="AI343" s="149"/>
      <c r="AJ343" s="149"/>
      <c r="AK343" s="149"/>
      <c r="AL343" s="149"/>
      <c r="AM343" s="149"/>
      <c r="AN343" s="149"/>
      <c r="AO343" s="149"/>
      <c r="AP343" s="149"/>
      <c r="AQ343" s="149"/>
      <c r="AR343" s="149"/>
      <c r="AS343" s="149"/>
      <c r="AT343" s="149"/>
      <c r="AU343" s="149"/>
      <c r="AV343" s="149"/>
      <c r="AW343" s="149"/>
      <c r="AX343" s="149"/>
      <c r="AY343" s="149"/>
      <c r="AZ343" s="149"/>
      <c r="BA343" s="149"/>
      <c r="BB343" s="149"/>
      <c r="BC343" s="149"/>
      <c r="BD343" s="149"/>
      <c r="BE343" s="149"/>
      <c r="BF343" s="149"/>
      <c r="BG343" s="149"/>
    </row>
    <row r="344" spans="1:59">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c r="AB344" s="149"/>
      <c r="AC344" s="149"/>
      <c r="AD344" s="149"/>
      <c r="AE344" s="149"/>
      <c r="AF344" s="149"/>
      <c r="AG344" s="149"/>
      <c r="AH344" s="149"/>
      <c r="AI344" s="149"/>
      <c r="AJ344" s="149"/>
      <c r="AK344" s="149"/>
      <c r="AL344" s="149"/>
      <c r="AM344" s="149"/>
      <c r="AN344" s="149"/>
      <c r="AO344" s="149"/>
      <c r="AP344" s="149"/>
      <c r="AQ344" s="149"/>
      <c r="AR344" s="149"/>
      <c r="AS344" s="149"/>
      <c r="AT344" s="149"/>
      <c r="AU344" s="149"/>
      <c r="AV344" s="149"/>
      <c r="AW344" s="149"/>
      <c r="AX344" s="149"/>
      <c r="AY344" s="149"/>
      <c r="AZ344" s="149"/>
      <c r="BA344" s="149"/>
      <c r="BB344" s="149"/>
      <c r="BC344" s="149"/>
      <c r="BD344" s="149"/>
      <c r="BE344" s="149"/>
      <c r="BF344" s="149"/>
      <c r="BG344" s="149"/>
    </row>
    <row r="345" spans="1:59">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c r="AG345" s="149"/>
      <c r="AH345" s="149"/>
      <c r="AI345" s="149"/>
      <c r="AJ345" s="149"/>
      <c r="AK345" s="149"/>
      <c r="AL345" s="149"/>
      <c r="AM345" s="149"/>
      <c r="AN345" s="149"/>
      <c r="AO345" s="149"/>
      <c r="AP345" s="149"/>
      <c r="AQ345" s="149"/>
      <c r="AR345" s="149"/>
      <c r="AS345" s="149"/>
      <c r="AT345" s="149"/>
      <c r="AU345" s="149"/>
      <c r="AV345" s="149"/>
      <c r="AW345" s="149"/>
      <c r="AX345" s="149"/>
      <c r="AY345" s="149"/>
      <c r="AZ345" s="149"/>
      <c r="BA345" s="149"/>
      <c r="BB345" s="149"/>
      <c r="BC345" s="149"/>
      <c r="BD345" s="149"/>
      <c r="BE345" s="149"/>
      <c r="BF345" s="149"/>
      <c r="BG345" s="149"/>
    </row>
    <row r="346" spans="1:59">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49"/>
      <c r="AA346" s="149"/>
      <c r="AB346" s="149"/>
      <c r="AC346" s="149"/>
      <c r="AD346" s="149"/>
      <c r="AE346" s="149"/>
      <c r="AF346" s="149"/>
      <c r="AG346" s="149"/>
      <c r="AH346" s="149"/>
      <c r="AI346" s="149"/>
      <c r="AJ346" s="149"/>
      <c r="AK346" s="149"/>
      <c r="AL346" s="149"/>
      <c r="AM346" s="149"/>
      <c r="AN346" s="149"/>
      <c r="AO346" s="149"/>
      <c r="AP346" s="149"/>
      <c r="AQ346" s="149"/>
      <c r="AR346" s="149"/>
      <c r="AS346" s="149"/>
      <c r="AT346" s="149"/>
      <c r="AU346" s="149"/>
      <c r="AV346" s="149"/>
      <c r="AW346" s="149"/>
      <c r="AX346" s="149"/>
      <c r="AY346" s="149"/>
      <c r="AZ346" s="149"/>
      <c r="BA346" s="149"/>
      <c r="BB346" s="149"/>
      <c r="BC346" s="149"/>
      <c r="BD346" s="149"/>
      <c r="BE346" s="149"/>
      <c r="BF346" s="149"/>
      <c r="BG346" s="149"/>
    </row>
    <row r="347" spans="1:59">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c r="X347" s="149"/>
      <c r="Y347" s="149"/>
      <c r="Z347" s="149"/>
      <c r="AA347" s="149"/>
      <c r="AB347" s="149"/>
      <c r="AC347" s="149"/>
      <c r="AD347" s="149"/>
      <c r="AE347" s="149"/>
      <c r="AF347" s="149"/>
      <c r="AG347" s="149"/>
      <c r="AH347" s="149"/>
      <c r="AI347" s="149"/>
      <c r="AJ347" s="149"/>
      <c r="AK347" s="149"/>
      <c r="AL347" s="149"/>
      <c r="AM347" s="149"/>
      <c r="AN347" s="149"/>
      <c r="AO347" s="149"/>
      <c r="AP347" s="149"/>
      <c r="AQ347" s="149"/>
      <c r="AR347" s="149"/>
      <c r="AS347" s="149"/>
      <c r="AT347" s="149"/>
      <c r="AU347" s="149"/>
      <c r="AV347" s="149"/>
      <c r="AW347" s="149"/>
      <c r="AX347" s="149"/>
      <c r="AY347" s="149"/>
      <c r="AZ347" s="149"/>
      <c r="BA347" s="149"/>
      <c r="BB347" s="149"/>
      <c r="BC347" s="149"/>
      <c r="BD347" s="149"/>
      <c r="BE347" s="149"/>
      <c r="BF347" s="149"/>
      <c r="BG347" s="149"/>
    </row>
    <row r="348" spans="1:59">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c r="X348" s="149"/>
      <c r="Y348" s="149"/>
      <c r="Z348" s="149"/>
      <c r="AA348" s="149"/>
      <c r="AB348" s="149"/>
      <c r="AC348" s="149"/>
      <c r="AD348" s="149"/>
      <c r="AE348" s="149"/>
      <c r="AF348" s="149"/>
      <c r="AG348" s="149"/>
      <c r="AH348" s="149"/>
      <c r="AI348" s="149"/>
      <c r="AJ348" s="149"/>
      <c r="AK348" s="149"/>
      <c r="AL348" s="149"/>
      <c r="AM348" s="149"/>
      <c r="AN348" s="149"/>
      <c r="AO348" s="149"/>
      <c r="AP348" s="149"/>
      <c r="AQ348" s="149"/>
      <c r="AR348" s="149"/>
      <c r="AS348" s="149"/>
      <c r="AT348" s="149"/>
      <c r="AU348" s="149"/>
      <c r="AV348" s="149"/>
      <c r="AW348" s="149"/>
      <c r="AX348" s="149"/>
      <c r="AY348" s="149"/>
      <c r="AZ348" s="149"/>
      <c r="BA348" s="149"/>
      <c r="BB348" s="149"/>
      <c r="BC348" s="149"/>
      <c r="BD348" s="149"/>
      <c r="BE348" s="149"/>
      <c r="BF348" s="149"/>
      <c r="BG348" s="149"/>
    </row>
    <row r="349" spans="1:59">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c r="X349" s="149"/>
      <c r="Y349" s="149"/>
      <c r="Z349" s="149"/>
      <c r="AA349" s="149"/>
      <c r="AB349" s="149"/>
      <c r="AC349" s="149"/>
      <c r="AD349" s="149"/>
      <c r="AE349" s="149"/>
      <c r="AF349" s="149"/>
      <c r="AG349" s="149"/>
      <c r="AH349" s="149"/>
      <c r="AI349" s="149"/>
      <c r="AJ349" s="149"/>
      <c r="AK349" s="149"/>
      <c r="AL349" s="149"/>
      <c r="AM349" s="149"/>
      <c r="AN349" s="149"/>
      <c r="AO349" s="149"/>
      <c r="AP349" s="149"/>
      <c r="AQ349" s="149"/>
      <c r="AR349" s="149"/>
      <c r="AS349" s="149"/>
      <c r="AT349" s="149"/>
      <c r="AU349" s="149"/>
      <c r="AV349" s="149"/>
      <c r="AW349" s="149"/>
      <c r="AX349" s="149"/>
      <c r="AY349" s="149"/>
      <c r="AZ349" s="149"/>
      <c r="BA349" s="149"/>
      <c r="BB349" s="149"/>
      <c r="BC349" s="149"/>
      <c r="BD349" s="149"/>
      <c r="BE349" s="149"/>
      <c r="BF349" s="149"/>
      <c r="BG349" s="149"/>
    </row>
    <row r="350" spans="1:59">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c r="X350" s="149"/>
      <c r="Y350" s="149"/>
      <c r="Z350" s="149"/>
      <c r="AA350" s="149"/>
      <c r="AB350" s="149"/>
      <c r="AC350" s="149"/>
      <c r="AD350" s="149"/>
      <c r="AE350" s="149"/>
      <c r="AF350" s="149"/>
      <c r="AG350" s="149"/>
      <c r="AH350" s="149"/>
      <c r="AI350" s="149"/>
      <c r="AJ350" s="149"/>
      <c r="AK350" s="149"/>
      <c r="AL350" s="149"/>
      <c r="AM350" s="149"/>
      <c r="AN350" s="149"/>
      <c r="AO350" s="149"/>
      <c r="AP350" s="149"/>
      <c r="AQ350" s="149"/>
      <c r="AR350" s="149"/>
      <c r="AS350" s="149"/>
      <c r="AT350" s="149"/>
      <c r="AU350" s="149"/>
      <c r="AV350" s="149"/>
      <c r="AW350" s="149"/>
      <c r="AX350" s="149"/>
      <c r="AY350" s="149"/>
      <c r="AZ350" s="149"/>
      <c r="BA350" s="149"/>
      <c r="BB350" s="149"/>
      <c r="BC350" s="149"/>
      <c r="BD350" s="149"/>
      <c r="BE350" s="149"/>
      <c r="BF350" s="149"/>
      <c r="BG350" s="149"/>
    </row>
    <row r="351" spans="1:59">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c r="X351" s="149"/>
      <c r="Y351" s="149"/>
      <c r="Z351" s="149"/>
      <c r="AA351" s="149"/>
      <c r="AB351" s="149"/>
      <c r="AC351" s="149"/>
      <c r="AD351" s="149"/>
      <c r="AE351" s="149"/>
      <c r="AF351" s="149"/>
      <c r="AG351" s="149"/>
      <c r="AH351" s="149"/>
      <c r="AI351" s="149"/>
      <c r="AJ351" s="149"/>
      <c r="AK351" s="149"/>
      <c r="AL351" s="149"/>
      <c r="AM351" s="149"/>
      <c r="AN351" s="149"/>
      <c r="AO351" s="149"/>
      <c r="AP351" s="149"/>
      <c r="AQ351" s="149"/>
      <c r="AR351" s="149"/>
      <c r="AS351" s="149"/>
      <c r="AT351" s="149"/>
      <c r="AU351" s="149"/>
      <c r="AV351" s="149"/>
      <c r="AW351" s="149"/>
      <c r="AX351" s="149"/>
      <c r="AY351" s="149"/>
      <c r="AZ351" s="149"/>
      <c r="BA351" s="149"/>
      <c r="BB351" s="149"/>
      <c r="BC351" s="149"/>
      <c r="BD351" s="149"/>
      <c r="BE351" s="149"/>
      <c r="BF351" s="149"/>
      <c r="BG351" s="149"/>
    </row>
    <row r="352" spans="1:59">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c r="X352" s="149"/>
      <c r="Y352" s="149"/>
      <c r="Z352" s="149"/>
      <c r="AA352" s="149"/>
      <c r="AB352" s="149"/>
      <c r="AC352" s="149"/>
      <c r="AD352" s="149"/>
      <c r="AE352" s="149"/>
      <c r="AF352" s="149"/>
      <c r="AG352" s="149"/>
      <c r="AH352" s="149"/>
      <c r="AI352" s="149"/>
      <c r="AJ352" s="149"/>
      <c r="AK352" s="149"/>
      <c r="AL352" s="149"/>
      <c r="AM352" s="149"/>
      <c r="AN352" s="149"/>
      <c r="AO352" s="149"/>
      <c r="AP352" s="149"/>
      <c r="AQ352" s="149"/>
      <c r="AR352" s="149"/>
      <c r="AS352" s="149"/>
      <c r="AT352" s="149"/>
      <c r="AU352" s="149"/>
      <c r="AV352" s="149"/>
      <c r="AW352" s="149"/>
      <c r="AX352" s="149"/>
      <c r="AY352" s="149"/>
      <c r="AZ352" s="149"/>
      <c r="BA352" s="149"/>
      <c r="BB352" s="149"/>
      <c r="BC352" s="149"/>
      <c r="BD352" s="149"/>
      <c r="BE352" s="149"/>
      <c r="BF352" s="149"/>
      <c r="BG352" s="149"/>
    </row>
    <row r="353" spans="1:59">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c r="X353" s="149"/>
      <c r="Y353" s="149"/>
      <c r="Z353" s="149"/>
      <c r="AA353" s="149"/>
      <c r="AB353" s="149"/>
      <c r="AC353" s="149"/>
      <c r="AD353" s="149"/>
      <c r="AE353" s="149"/>
      <c r="AF353" s="149"/>
      <c r="AG353" s="149"/>
      <c r="AH353" s="149"/>
      <c r="AI353" s="149"/>
      <c r="AJ353" s="149"/>
      <c r="AK353" s="149"/>
      <c r="AL353" s="149"/>
      <c r="AM353" s="149"/>
      <c r="AN353" s="149"/>
      <c r="AO353" s="149"/>
      <c r="AP353" s="149"/>
      <c r="AQ353" s="149"/>
      <c r="AR353" s="149"/>
      <c r="AS353" s="149"/>
      <c r="AT353" s="149"/>
      <c r="AU353" s="149"/>
      <c r="AV353" s="149"/>
      <c r="AW353" s="149"/>
      <c r="AX353" s="149"/>
      <c r="AY353" s="149"/>
      <c r="AZ353" s="149"/>
      <c r="BA353" s="149"/>
      <c r="BB353" s="149"/>
      <c r="BC353" s="149"/>
      <c r="BD353" s="149"/>
      <c r="BE353" s="149"/>
      <c r="BF353" s="149"/>
      <c r="BG353" s="149"/>
    </row>
    <row r="354" spans="1:59">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c r="X354" s="149"/>
      <c r="Y354" s="149"/>
      <c r="Z354" s="149"/>
      <c r="AA354" s="149"/>
      <c r="AB354" s="149"/>
      <c r="AC354" s="149"/>
      <c r="AD354" s="149"/>
      <c r="AE354" s="149"/>
      <c r="AF354" s="149"/>
      <c r="AG354" s="149"/>
      <c r="AH354" s="149"/>
      <c r="AI354" s="149"/>
      <c r="AJ354" s="149"/>
      <c r="AK354" s="149"/>
      <c r="AL354" s="149"/>
      <c r="AM354" s="149"/>
      <c r="AN354" s="149"/>
      <c r="AO354" s="149"/>
      <c r="AP354" s="149"/>
      <c r="AQ354" s="149"/>
      <c r="AR354" s="149"/>
      <c r="AS354" s="149"/>
      <c r="AT354" s="149"/>
      <c r="AU354" s="149"/>
      <c r="AV354" s="149"/>
      <c r="AW354" s="149"/>
      <c r="AX354" s="149"/>
      <c r="AY354" s="149"/>
      <c r="AZ354" s="149"/>
      <c r="BA354" s="149"/>
      <c r="BB354" s="149"/>
      <c r="BC354" s="149"/>
      <c r="BD354" s="149"/>
      <c r="BE354" s="149"/>
      <c r="BF354" s="149"/>
      <c r="BG354" s="149"/>
    </row>
    <row r="355" spans="1:59">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c r="X355" s="149"/>
      <c r="Y355" s="149"/>
      <c r="Z355" s="149"/>
      <c r="AA355" s="149"/>
      <c r="AB355" s="149"/>
      <c r="AC355" s="149"/>
      <c r="AD355" s="149"/>
      <c r="AE355" s="149"/>
      <c r="AF355" s="149"/>
      <c r="AG355" s="149"/>
      <c r="AH355" s="149"/>
      <c r="AI355" s="149"/>
      <c r="AJ355" s="149"/>
      <c r="AK355" s="149"/>
      <c r="AL355" s="149"/>
      <c r="AM355" s="149"/>
      <c r="AN355" s="149"/>
      <c r="AO355" s="149"/>
      <c r="AP355" s="149"/>
      <c r="AQ355" s="149"/>
      <c r="AR355" s="149"/>
      <c r="AS355" s="149"/>
      <c r="AT355" s="149"/>
      <c r="AU355" s="149"/>
      <c r="AV355" s="149"/>
      <c r="AW355" s="149"/>
      <c r="AX355" s="149"/>
      <c r="AY355" s="149"/>
      <c r="AZ355" s="149"/>
      <c r="BA355" s="149"/>
      <c r="BB355" s="149"/>
      <c r="BC355" s="149"/>
      <c r="BD355" s="149"/>
      <c r="BE355" s="149"/>
      <c r="BF355" s="149"/>
      <c r="BG355" s="149"/>
    </row>
    <row r="356" spans="1:59">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c r="X356" s="149"/>
      <c r="Y356" s="149"/>
      <c r="Z356" s="149"/>
      <c r="AA356" s="149"/>
      <c r="AB356" s="149"/>
      <c r="AC356" s="149"/>
      <c r="AD356" s="149"/>
      <c r="AE356" s="149"/>
      <c r="AF356" s="149"/>
      <c r="AG356" s="149"/>
      <c r="AH356" s="149"/>
      <c r="AI356" s="149"/>
      <c r="AJ356" s="149"/>
      <c r="AK356" s="149"/>
      <c r="AL356" s="149"/>
      <c r="AM356" s="149"/>
      <c r="AN356" s="149"/>
      <c r="AO356" s="149"/>
      <c r="AP356" s="149"/>
      <c r="AQ356" s="149"/>
      <c r="AR356" s="149"/>
      <c r="AS356" s="149"/>
      <c r="AT356" s="149"/>
      <c r="AU356" s="149"/>
      <c r="AV356" s="149"/>
      <c r="AW356" s="149"/>
      <c r="AX356" s="149"/>
      <c r="AY356" s="149"/>
      <c r="AZ356" s="149"/>
      <c r="BA356" s="149"/>
      <c r="BB356" s="149"/>
      <c r="BC356" s="149"/>
      <c r="BD356" s="149"/>
      <c r="BE356" s="149"/>
      <c r="BF356" s="149"/>
      <c r="BG356" s="149"/>
    </row>
    <row r="357" spans="1:59">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c r="X357" s="149"/>
      <c r="Y357" s="149"/>
      <c r="Z357" s="149"/>
      <c r="AA357" s="149"/>
      <c r="AB357" s="149"/>
      <c r="AC357" s="149"/>
      <c r="AD357" s="149"/>
      <c r="AE357" s="149"/>
      <c r="AF357" s="149"/>
      <c r="AG357" s="149"/>
      <c r="AH357" s="149"/>
      <c r="AI357" s="149"/>
      <c r="AJ357" s="149"/>
      <c r="AK357" s="149"/>
      <c r="AL357" s="149"/>
      <c r="AM357" s="149"/>
      <c r="AN357" s="149"/>
      <c r="AO357" s="149"/>
      <c r="AP357" s="149"/>
      <c r="AQ357" s="149"/>
      <c r="AR357" s="149"/>
      <c r="AS357" s="149"/>
      <c r="AT357" s="149"/>
      <c r="AU357" s="149"/>
      <c r="AV357" s="149"/>
      <c r="AW357" s="149"/>
      <c r="AX357" s="149"/>
      <c r="AY357" s="149"/>
      <c r="AZ357" s="149"/>
      <c r="BA357" s="149"/>
      <c r="BB357" s="149"/>
      <c r="BC357" s="149"/>
      <c r="BD357" s="149"/>
      <c r="BE357" s="149"/>
      <c r="BF357" s="149"/>
      <c r="BG357" s="149"/>
    </row>
    <row r="358" spans="1:59">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c r="X358" s="149"/>
      <c r="Y358" s="149"/>
      <c r="Z358" s="149"/>
      <c r="AA358" s="149"/>
      <c r="AB358" s="149"/>
      <c r="AC358" s="149"/>
      <c r="AD358" s="149"/>
      <c r="AE358" s="149"/>
      <c r="AF358" s="149"/>
      <c r="AG358" s="149"/>
      <c r="AH358" s="149"/>
      <c r="AI358" s="149"/>
      <c r="AJ358" s="149"/>
      <c r="AK358" s="149"/>
      <c r="AL358" s="149"/>
      <c r="AM358" s="149"/>
      <c r="AN358" s="149"/>
      <c r="AO358" s="149"/>
      <c r="AP358" s="149"/>
      <c r="AQ358" s="149"/>
      <c r="AR358" s="149"/>
      <c r="AS358" s="149"/>
      <c r="AT358" s="149"/>
      <c r="AU358" s="149"/>
      <c r="AV358" s="149"/>
      <c r="AW358" s="149"/>
      <c r="AX358" s="149"/>
      <c r="AY358" s="149"/>
      <c r="AZ358" s="149"/>
      <c r="BA358" s="149"/>
      <c r="BB358" s="149"/>
      <c r="BC358" s="149"/>
      <c r="BD358" s="149"/>
      <c r="BE358" s="149"/>
      <c r="BF358" s="149"/>
      <c r="BG358" s="149"/>
    </row>
    <row r="359" spans="1:59">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c r="X359" s="149"/>
      <c r="Y359" s="149"/>
      <c r="Z359" s="149"/>
      <c r="AA359" s="149"/>
      <c r="AB359" s="149"/>
      <c r="AC359" s="149"/>
      <c r="AD359" s="149"/>
      <c r="AE359" s="149"/>
      <c r="AF359" s="149"/>
      <c r="AG359" s="149"/>
      <c r="AH359" s="149"/>
      <c r="AI359" s="149"/>
      <c r="AJ359" s="149"/>
      <c r="AK359" s="149"/>
      <c r="AL359" s="149"/>
      <c r="AM359" s="149"/>
      <c r="AN359" s="149"/>
      <c r="AO359" s="149"/>
      <c r="AP359" s="149"/>
      <c r="AQ359" s="149"/>
      <c r="AR359" s="149"/>
      <c r="AS359" s="149"/>
      <c r="AT359" s="149"/>
      <c r="AU359" s="149"/>
      <c r="AV359" s="149"/>
      <c r="AW359" s="149"/>
      <c r="AX359" s="149"/>
      <c r="AY359" s="149"/>
      <c r="AZ359" s="149"/>
      <c r="BA359" s="149"/>
      <c r="BB359" s="149"/>
      <c r="BC359" s="149"/>
      <c r="BD359" s="149"/>
      <c r="BE359" s="149"/>
      <c r="BF359" s="149"/>
      <c r="BG359" s="149"/>
    </row>
    <row r="360" spans="1:59">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49"/>
      <c r="Z360" s="149"/>
      <c r="AA360" s="149"/>
      <c r="AB360" s="149"/>
      <c r="AC360" s="149"/>
      <c r="AD360" s="149"/>
      <c r="AE360" s="149"/>
      <c r="AF360" s="149"/>
      <c r="AG360" s="149"/>
      <c r="AH360" s="149"/>
      <c r="AI360" s="149"/>
      <c r="AJ360" s="149"/>
      <c r="AK360" s="149"/>
      <c r="AL360" s="149"/>
      <c r="AM360" s="149"/>
      <c r="AN360" s="149"/>
      <c r="AO360" s="149"/>
      <c r="AP360" s="149"/>
      <c r="AQ360" s="149"/>
      <c r="AR360" s="149"/>
      <c r="AS360" s="149"/>
      <c r="AT360" s="149"/>
      <c r="AU360" s="149"/>
      <c r="AV360" s="149"/>
      <c r="AW360" s="149"/>
      <c r="AX360" s="149"/>
      <c r="AY360" s="149"/>
      <c r="AZ360" s="149"/>
      <c r="BA360" s="149"/>
      <c r="BB360" s="149"/>
      <c r="BC360" s="149"/>
      <c r="BD360" s="149"/>
      <c r="BE360" s="149"/>
      <c r="BF360" s="149"/>
      <c r="BG360" s="149"/>
    </row>
    <row r="361" spans="1:59">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c r="X361" s="149"/>
      <c r="Y361" s="149"/>
      <c r="Z361" s="149"/>
      <c r="AA361" s="149"/>
      <c r="AB361" s="149"/>
      <c r="AC361" s="149"/>
      <c r="AD361" s="149"/>
      <c r="AE361" s="149"/>
      <c r="AF361" s="149"/>
      <c r="AG361" s="149"/>
      <c r="AH361" s="149"/>
      <c r="AI361" s="149"/>
      <c r="AJ361" s="149"/>
      <c r="AK361" s="149"/>
      <c r="AL361" s="149"/>
      <c r="AM361" s="149"/>
      <c r="AN361" s="149"/>
      <c r="AO361" s="149"/>
      <c r="AP361" s="149"/>
      <c r="AQ361" s="149"/>
      <c r="AR361" s="149"/>
      <c r="AS361" s="149"/>
      <c r="AT361" s="149"/>
      <c r="AU361" s="149"/>
      <c r="AV361" s="149"/>
      <c r="AW361" s="149"/>
      <c r="AX361" s="149"/>
      <c r="AY361" s="149"/>
      <c r="AZ361" s="149"/>
      <c r="BA361" s="149"/>
      <c r="BB361" s="149"/>
      <c r="BC361" s="149"/>
      <c r="BD361" s="149"/>
      <c r="BE361" s="149"/>
      <c r="BF361" s="149"/>
      <c r="BG361" s="149"/>
    </row>
    <row r="362" spans="1:59">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c r="X362" s="149"/>
      <c r="Y362" s="149"/>
      <c r="Z362" s="149"/>
      <c r="AA362" s="149"/>
      <c r="AB362" s="149"/>
      <c r="AC362" s="149"/>
      <c r="AD362" s="149"/>
      <c r="AE362" s="149"/>
      <c r="AF362" s="149"/>
      <c r="AG362" s="149"/>
      <c r="AH362" s="149"/>
      <c r="AI362" s="149"/>
      <c r="AJ362" s="149"/>
      <c r="AK362" s="149"/>
      <c r="AL362" s="149"/>
      <c r="AM362" s="149"/>
      <c r="AN362" s="149"/>
      <c r="AO362" s="149"/>
      <c r="AP362" s="149"/>
      <c r="AQ362" s="149"/>
      <c r="AR362" s="149"/>
      <c r="AS362" s="149"/>
      <c r="AT362" s="149"/>
      <c r="AU362" s="149"/>
      <c r="AV362" s="149"/>
      <c r="AW362" s="149"/>
      <c r="AX362" s="149"/>
      <c r="AY362" s="149"/>
      <c r="AZ362" s="149"/>
      <c r="BA362" s="149"/>
      <c r="BB362" s="149"/>
      <c r="BC362" s="149"/>
      <c r="BD362" s="149"/>
      <c r="BE362" s="149"/>
      <c r="BF362" s="149"/>
      <c r="BG362" s="149"/>
    </row>
    <row r="363" spans="1:59">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c r="X363" s="149"/>
      <c r="Y363" s="149"/>
      <c r="Z363" s="149"/>
      <c r="AA363" s="149"/>
      <c r="AB363" s="149"/>
      <c r="AC363" s="149"/>
      <c r="AD363" s="149"/>
      <c r="AE363" s="149"/>
      <c r="AF363" s="149"/>
      <c r="AG363" s="149"/>
      <c r="AH363" s="149"/>
      <c r="AI363" s="149"/>
      <c r="AJ363" s="149"/>
      <c r="AK363" s="149"/>
      <c r="AL363" s="149"/>
      <c r="AM363" s="149"/>
      <c r="AN363" s="149"/>
      <c r="AO363" s="149"/>
      <c r="AP363" s="149"/>
      <c r="AQ363" s="149"/>
      <c r="AR363" s="149"/>
      <c r="AS363" s="149"/>
      <c r="AT363" s="149"/>
      <c r="AU363" s="149"/>
      <c r="AV363" s="149"/>
      <c r="AW363" s="149"/>
      <c r="AX363" s="149"/>
      <c r="AY363" s="149"/>
      <c r="AZ363" s="149"/>
      <c r="BA363" s="149"/>
      <c r="BB363" s="149"/>
      <c r="BC363" s="149"/>
      <c r="BD363" s="149"/>
      <c r="BE363" s="149"/>
      <c r="BF363" s="149"/>
      <c r="BG363" s="149"/>
    </row>
    <row r="364" spans="1:59">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c r="X364" s="149"/>
      <c r="Y364" s="149"/>
      <c r="Z364" s="149"/>
      <c r="AA364" s="149"/>
      <c r="AB364" s="149"/>
      <c r="AC364" s="149"/>
      <c r="AD364" s="149"/>
      <c r="AE364" s="149"/>
      <c r="AF364" s="149"/>
      <c r="AG364" s="149"/>
      <c r="AH364" s="149"/>
      <c r="AI364" s="149"/>
      <c r="AJ364" s="149"/>
      <c r="AK364" s="149"/>
      <c r="AL364" s="149"/>
      <c r="AM364" s="149"/>
      <c r="AN364" s="149"/>
      <c r="AO364" s="149"/>
      <c r="AP364" s="149"/>
      <c r="AQ364" s="149"/>
      <c r="AR364" s="149"/>
      <c r="AS364" s="149"/>
      <c r="AT364" s="149"/>
      <c r="AU364" s="149"/>
      <c r="AV364" s="149"/>
      <c r="AW364" s="149"/>
      <c r="AX364" s="149"/>
      <c r="AY364" s="149"/>
      <c r="AZ364" s="149"/>
      <c r="BA364" s="149"/>
      <c r="BB364" s="149"/>
      <c r="BC364" s="149"/>
      <c r="BD364" s="149"/>
      <c r="BE364" s="149"/>
      <c r="BF364" s="149"/>
      <c r="BG364" s="149"/>
    </row>
    <row r="365" spans="1:59">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c r="X365" s="149"/>
      <c r="Y365" s="149"/>
      <c r="Z365" s="149"/>
      <c r="AA365" s="149"/>
      <c r="AB365" s="149"/>
      <c r="AC365" s="149"/>
      <c r="AD365" s="149"/>
      <c r="AE365" s="149"/>
      <c r="AF365" s="149"/>
      <c r="AG365" s="149"/>
      <c r="AH365" s="149"/>
      <c r="AI365" s="149"/>
      <c r="AJ365" s="149"/>
      <c r="AK365" s="149"/>
      <c r="AL365" s="149"/>
      <c r="AM365" s="149"/>
      <c r="AN365" s="149"/>
      <c r="AO365" s="149"/>
      <c r="AP365" s="149"/>
      <c r="AQ365" s="149"/>
      <c r="AR365" s="149"/>
      <c r="AS365" s="149"/>
      <c r="AT365" s="149"/>
      <c r="AU365" s="149"/>
      <c r="AV365" s="149"/>
      <c r="AW365" s="149"/>
      <c r="AX365" s="149"/>
      <c r="AY365" s="149"/>
      <c r="AZ365" s="149"/>
      <c r="BA365" s="149"/>
      <c r="BB365" s="149"/>
      <c r="BC365" s="149"/>
      <c r="BD365" s="149"/>
      <c r="BE365" s="149"/>
      <c r="BF365" s="149"/>
      <c r="BG365" s="149"/>
    </row>
    <row r="366" spans="1:59">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c r="X366" s="149"/>
      <c r="Y366" s="149"/>
      <c r="Z366" s="149"/>
      <c r="AA366" s="149"/>
      <c r="AB366" s="149"/>
      <c r="AC366" s="149"/>
      <c r="AD366" s="149"/>
      <c r="AE366" s="149"/>
      <c r="AF366" s="149"/>
      <c r="AG366" s="149"/>
      <c r="AH366" s="149"/>
      <c r="AI366" s="149"/>
      <c r="AJ366" s="149"/>
      <c r="AK366" s="149"/>
      <c r="AL366" s="149"/>
      <c r="AM366" s="149"/>
      <c r="AN366" s="149"/>
      <c r="AO366" s="149"/>
      <c r="AP366" s="149"/>
      <c r="AQ366" s="149"/>
      <c r="AR366" s="149"/>
      <c r="AS366" s="149"/>
      <c r="AT366" s="149"/>
      <c r="AU366" s="149"/>
      <c r="AV366" s="149"/>
      <c r="AW366" s="149"/>
      <c r="AX366" s="149"/>
      <c r="AY366" s="149"/>
      <c r="AZ366" s="149"/>
      <c r="BA366" s="149"/>
      <c r="BB366" s="149"/>
      <c r="BC366" s="149"/>
      <c r="BD366" s="149"/>
      <c r="BE366" s="149"/>
      <c r="BF366" s="149"/>
      <c r="BG366" s="149"/>
    </row>
    <row r="367" spans="1:59">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149"/>
      <c r="AA367" s="149"/>
      <c r="AB367" s="149"/>
      <c r="AC367" s="149"/>
      <c r="AD367" s="149"/>
      <c r="AE367" s="149"/>
      <c r="AF367" s="149"/>
      <c r="AG367" s="149"/>
      <c r="AH367" s="149"/>
      <c r="AI367" s="149"/>
      <c r="AJ367" s="149"/>
      <c r="AK367" s="149"/>
      <c r="AL367" s="149"/>
      <c r="AM367" s="149"/>
      <c r="AN367" s="149"/>
      <c r="AO367" s="149"/>
      <c r="AP367" s="149"/>
      <c r="AQ367" s="149"/>
      <c r="AR367" s="149"/>
      <c r="AS367" s="149"/>
      <c r="AT367" s="149"/>
      <c r="AU367" s="149"/>
      <c r="AV367" s="149"/>
      <c r="AW367" s="149"/>
      <c r="AX367" s="149"/>
      <c r="AY367" s="149"/>
      <c r="AZ367" s="149"/>
      <c r="BA367" s="149"/>
      <c r="BB367" s="149"/>
      <c r="BC367" s="149"/>
      <c r="BD367" s="149"/>
      <c r="BE367" s="149"/>
      <c r="BF367" s="149"/>
      <c r="BG367" s="149"/>
    </row>
    <row r="368" spans="1:59">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c r="X368" s="149"/>
      <c r="Y368" s="149"/>
      <c r="Z368" s="149"/>
      <c r="AA368" s="149"/>
      <c r="AB368" s="149"/>
      <c r="AC368" s="149"/>
      <c r="AD368" s="149"/>
      <c r="AE368" s="149"/>
      <c r="AF368" s="149"/>
      <c r="AG368" s="149"/>
      <c r="AH368" s="149"/>
      <c r="AI368" s="149"/>
      <c r="AJ368" s="149"/>
      <c r="AK368" s="149"/>
      <c r="AL368" s="149"/>
      <c r="AM368" s="149"/>
      <c r="AN368" s="149"/>
      <c r="AO368" s="149"/>
      <c r="AP368" s="149"/>
      <c r="AQ368" s="149"/>
      <c r="AR368" s="149"/>
      <c r="AS368" s="149"/>
      <c r="AT368" s="149"/>
      <c r="AU368" s="149"/>
      <c r="AV368" s="149"/>
      <c r="AW368" s="149"/>
      <c r="AX368" s="149"/>
      <c r="AY368" s="149"/>
      <c r="AZ368" s="149"/>
      <c r="BA368" s="149"/>
      <c r="BB368" s="149"/>
      <c r="BC368" s="149"/>
      <c r="BD368" s="149"/>
      <c r="BE368" s="149"/>
      <c r="BF368" s="149"/>
      <c r="BG368" s="149"/>
    </row>
    <row r="369" spans="1:59">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c r="X369" s="149"/>
      <c r="Y369" s="149"/>
      <c r="Z369" s="149"/>
      <c r="AA369" s="149"/>
      <c r="AB369" s="149"/>
      <c r="AC369" s="149"/>
      <c r="AD369" s="149"/>
      <c r="AE369" s="149"/>
      <c r="AF369" s="149"/>
      <c r="AG369" s="149"/>
      <c r="AH369" s="149"/>
      <c r="AI369" s="149"/>
      <c r="AJ369" s="149"/>
      <c r="AK369" s="149"/>
      <c r="AL369" s="149"/>
      <c r="AM369" s="149"/>
      <c r="AN369" s="149"/>
      <c r="AO369" s="149"/>
      <c r="AP369" s="149"/>
      <c r="AQ369" s="149"/>
      <c r="AR369" s="149"/>
      <c r="AS369" s="149"/>
      <c r="AT369" s="149"/>
      <c r="AU369" s="149"/>
      <c r="AV369" s="149"/>
      <c r="AW369" s="149"/>
      <c r="AX369" s="149"/>
      <c r="AY369" s="149"/>
      <c r="AZ369" s="149"/>
      <c r="BA369" s="149"/>
      <c r="BB369" s="149"/>
      <c r="BC369" s="149"/>
      <c r="BD369" s="149"/>
      <c r="BE369" s="149"/>
      <c r="BF369" s="149"/>
      <c r="BG369" s="149"/>
    </row>
    <row r="370" spans="1:59">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c r="X370" s="149"/>
      <c r="Y370" s="149"/>
      <c r="Z370" s="149"/>
      <c r="AA370" s="149"/>
      <c r="AB370" s="149"/>
      <c r="AC370" s="149"/>
      <c r="AD370" s="149"/>
      <c r="AE370" s="149"/>
      <c r="AF370" s="149"/>
      <c r="AG370" s="149"/>
      <c r="AH370" s="149"/>
      <c r="AI370" s="149"/>
      <c r="AJ370" s="149"/>
      <c r="AK370" s="149"/>
      <c r="AL370" s="149"/>
      <c r="AM370" s="149"/>
      <c r="AN370" s="149"/>
      <c r="AO370" s="149"/>
      <c r="AP370" s="149"/>
      <c r="AQ370" s="149"/>
      <c r="AR370" s="149"/>
      <c r="AS370" s="149"/>
      <c r="AT370" s="149"/>
      <c r="AU370" s="149"/>
      <c r="AV370" s="149"/>
      <c r="AW370" s="149"/>
      <c r="AX370" s="149"/>
      <c r="AY370" s="149"/>
      <c r="AZ370" s="149"/>
      <c r="BA370" s="149"/>
      <c r="BB370" s="149"/>
      <c r="BC370" s="149"/>
      <c r="BD370" s="149"/>
      <c r="BE370" s="149"/>
      <c r="BF370" s="149"/>
      <c r="BG370" s="149"/>
    </row>
    <row r="371" spans="1:59">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c r="X371" s="149"/>
      <c r="Y371" s="149"/>
      <c r="Z371" s="149"/>
      <c r="AA371" s="149"/>
      <c r="AB371" s="149"/>
      <c r="AC371" s="149"/>
      <c r="AD371" s="149"/>
      <c r="AE371" s="149"/>
      <c r="AF371" s="149"/>
      <c r="AG371" s="149"/>
      <c r="AH371" s="149"/>
      <c r="AI371" s="149"/>
      <c r="AJ371" s="149"/>
      <c r="AK371" s="149"/>
      <c r="AL371" s="149"/>
      <c r="AM371" s="149"/>
      <c r="AN371" s="149"/>
      <c r="AO371" s="149"/>
      <c r="AP371" s="149"/>
      <c r="AQ371" s="149"/>
      <c r="AR371" s="149"/>
      <c r="AS371" s="149"/>
      <c r="AT371" s="149"/>
      <c r="AU371" s="149"/>
      <c r="AV371" s="149"/>
      <c r="AW371" s="149"/>
      <c r="AX371" s="149"/>
      <c r="AY371" s="149"/>
      <c r="AZ371" s="149"/>
      <c r="BA371" s="149"/>
      <c r="BB371" s="149"/>
      <c r="BC371" s="149"/>
      <c r="BD371" s="149"/>
      <c r="BE371" s="149"/>
      <c r="BF371" s="149"/>
      <c r="BG371" s="149"/>
    </row>
    <row r="372" spans="1:59">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c r="X372" s="149"/>
      <c r="Y372" s="149"/>
      <c r="Z372" s="149"/>
      <c r="AA372" s="149"/>
      <c r="AB372" s="149"/>
      <c r="AC372" s="149"/>
      <c r="AD372" s="149"/>
      <c r="AE372" s="149"/>
      <c r="AF372" s="149"/>
      <c r="AG372" s="149"/>
      <c r="AH372" s="149"/>
      <c r="AI372" s="149"/>
      <c r="AJ372" s="149"/>
      <c r="AK372" s="149"/>
      <c r="AL372" s="149"/>
      <c r="AM372" s="149"/>
      <c r="AN372" s="149"/>
      <c r="AO372" s="149"/>
      <c r="AP372" s="149"/>
      <c r="AQ372" s="149"/>
      <c r="AR372" s="149"/>
      <c r="AS372" s="149"/>
      <c r="AT372" s="149"/>
      <c r="AU372" s="149"/>
      <c r="AV372" s="149"/>
      <c r="AW372" s="149"/>
      <c r="AX372" s="149"/>
      <c r="AY372" s="149"/>
      <c r="AZ372" s="149"/>
      <c r="BA372" s="149"/>
      <c r="BB372" s="149"/>
      <c r="BC372" s="149"/>
      <c r="BD372" s="149"/>
      <c r="BE372" s="149"/>
      <c r="BF372" s="149"/>
      <c r="BG372" s="149"/>
    </row>
    <row r="373" spans="1:59">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c r="X373" s="149"/>
      <c r="Y373" s="149"/>
      <c r="Z373" s="149"/>
      <c r="AA373" s="149"/>
      <c r="AB373" s="149"/>
      <c r="AC373" s="149"/>
      <c r="AD373" s="149"/>
      <c r="AE373" s="149"/>
      <c r="AF373" s="149"/>
      <c r="AG373" s="149"/>
      <c r="AH373" s="149"/>
      <c r="AI373" s="149"/>
      <c r="AJ373" s="149"/>
      <c r="AK373" s="149"/>
      <c r="AL373" s="149"/>
      <c r="AM373" s="149"/>
      <c r="AN373" s="149"/>
      <c r="AO373" s="149"/>
      <c r="AP373" s="149"/>
      <c r="AQ373" s="149"/>
      <c r="AR373" s="149"/>
      <c r="AS373" s="149"/>
      <c r="AT373" s="149"/>
      <c r="AU373" s="149"/>
      <c r="AV373" s="149"/>
      <c r="AW373" s="149"/>
      <c r="AX373" s="149"/>
      <c r="AY373" s="149"/>
      <c r="AZ373" s="149"/>
      <c r="BA373" s="149"/>
      <c r="BB373" s="149"/>
      <c r="BC373" s="149"/>
      <c r="BD373" s="149"/>
      <c r="BE373" s="149"/>
      <c r="BF373" s="149"/>
      <c r="BG373" s="149"/>
    </row>
    <row r="374" spans="1:59">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c r="X374" s="149"/>
      <c r="Y374" s="149"/>
      <c r="Z374" s="149"/>
      <c r="AA374" s="149"/>
      <c r="AB374" s="149"/>
      <c r="AC374" s="149"/>
      <c r="AD374" s="149"/>
      <c r="AE374" s="149"/>
      <c r="AF374" s="149"/>
      <c r="AG374" s="149"/>
      <c r="AH374" s="149"/>
      <c r="AI374" s="149"/>
      <c r="AJ374" s="149"/>
      <c r="AK374" s="149"/>
      <c r="AL374" s="149"/>
      <c r="AM374" s="149"/>
      <c r="AN374" s="149"/>
      <c r="AO374" s="149"/>
      <c r="AP374" s="149"/>
      <c r="AQ374" s="149"/>
      <c r="AR374" s="149"/>
      <c r="AS374" s="149"/>
      <c r="AT374" s="149"/>
      <c r="AU374" s="149"/>
      <c r="AV374" s="149"/>
      <c r="AW374" s="149"/>
      <c r="AX374" s="149"/>
      <c r="AY374" s="149"/>
      <c r="AZ374" s="149"/>
      <c r="BA374" s="149"/>
      <c r="BB374" s="149"/>
      <c r="BC374" s="149"/>
      <c r="BD374" s="149"/>
      <c r="BE374" s="149"/>
      <c r="BF374" s="149"/>
      <c r="BG374" s="149"/>
    </row>
    <row r="375" spans="1:59">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c r="X375" s="149"/>
      <c r="Y375" s="149"/>
      <c r="Z375" s="149"/>
      <c r="AA375" s="149"/>
      <c r="AB375" s="149"/>
      <c r="AC375" s="149"/>
      <c r="AD375" s="149"/>
      <c r="AE375" s="149"/>
      <c r="AF375" s="149"/>
      <c r="AG375" s="149"/>
      <c r="AH375" s="149"/>
      <c r="AI375" s="149"/>
      <c r="AJ375" s="149"/>
      <c r="AK375" s="149"/>
      <c r="AL375" s="149"/>
      <c r="AM375" s="149"/>
      <c r="AN375" s="149"/>
      <c r="AO375" s="149"/>
      <c r="AP375" s="149"/>
      <c r="AQ375" s="149"/>
      <c r="AR375" s="149"/>
      <c r="AS375" s="149"/>
      <c r="AT375" s="149"/>
      <c r="AU375" s="149"/>
      <c r="AV375" s="149"/>
      <c r="AW375" s="149"/>
      <c r="AX375" s="149"/>
      <c r="AY375" s="149"/>
      <c r="AZ375" s="149"/>
      <c r="BA375" s="149"/>
      <c r="BB375" s="149"/>
      <c r="BC375" s="149"/>
      <c r="BD375" s="149"/>
      <c r="BE375" s="149"/>
      <c r="BF375" s="149"/>
      <c r="BG375" s="149"/>
    </row>
    <row r="376" spans="1:59">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c r="X376" s="149"/>
      <c r="Y376" s="149"/>
      <c r="Z376" s="149"/>
      <c r="AA376" s="149"/>
      <c r="AB376" s="149"/>
      <c r="AC376" s="149"/>
      <c r="AD376" s="149"/>
      <c r="AE376" s="149"/>
      <c r="AF376" s="149"/>
      <c r="AG376" s="149"/>
      <c r="AH376" s="149"/>
      <c r="AI376" s="149"/>
      <c r="AJ376" s="149"/>
      <c r="AK376" s="149"/>
      <c r="AL376" s="149"/>
      <c r="AM376" s="149"/>
      <c r="AN376" s="149"/>
      <c r="AO376" s="149"/>
      <c r="AP376" s="149"/>
      <c r="AQ376" s="149"/>
      <c r="AR376" s="149"/>
      <c r="AS376" s="149"/>
      <c r="AT376" s="149"/>
      <c r="AU376" s="149"/>
      <c r="AV376" s="149"/>
      <c r="AW376" s="149"/>
      <c r="AX376" s="149"/>
      <c r="AY376" s="149"/>
      <c r="AZ376" s="149"/>
      <c r="BA376" s="149"/>
      <c r="BB376" s="149"/>
      <c r="BC376" s="149"/>
      <c r="BD376" s="149"/>
      <c r="BE376" s="149"/>
      <c r="BF376" s="149"/>
      <c r="BG376" s="149"/>
    </row>
    <row r="377" spans="1:59">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c r="X377" s="149"/>
      <c r="Y377" s="149"/>
      <c r="Z377" s="149"/>
      <c r="AA377" s="149"/>
      <c r="AB377" s="149"/>
      <c r="AC377" s="149"/>
      <c r="AD377" s="149"/>
      <c r="AE377" s="149"/>
      <c r="AF377" s="149"/>
      <c r="AG377" s="149"/>
      <c r="AH377" s="149"/>
      <c r="AI377" s="149"/>
      <c r="AJ377" s="149"/>
      <c r="AK377" s="149"/>
      <c r="AL377" s="149"/>
      <c r="AM377" s="149"/>
      <c r="AN377" s="149"/>
      <c r="AO377" s="149"/>
      <c r="AP377" s="149"/>
      <c r="AQ377" s="149"/>
      <c r="AR377" s="149"/>
      <c r="AS377" s="149"/>
      <c r="AT377" s="149"/>
      <c r="AU377" s="149"/>
      <c r="AV377" s="149"/>
      <c r="AW377" s="149"/>
      <c r="AX377" s="149"/>
      <c r="AY377" s="149"/>
      <c r="AZ377" s="149"/>
      <c r="BA377" s="149"/>
      <c r="BB377" s="149"/>
      <c r="BC377" s="149"/>
      <c r="BD377" s="149"/>
      <c r="BE377" s="149"/>
      <c r="BF377" s="149"/>
      <c r="BG377" s="149"/>
    </row>
    <row r="378" spans="1:59">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c r="X378" s="149"/>
      <c r="Y378" s="149"/>
      <c r="Z378" s="149"/>
      <c r="AA378" s="149"/>
      <c r="AB378" s="149"/>
      <c r="AC378" s="149"/>
      <c r="AD378" s="149"/>
      <c r="AE378" s="149"/>
      <c r="AF378" s="149"/>
      <c r="AG378" s="149"/>
      <c r="AH378" s="149"/>
      <c r="AI378" s="149"/>
      <c r="AJ378" s="149"/>
      <c r="AK378" s="149"/>
      <c r="AL378" s="149"/>
      <c r="AM378" s="149"/>
      <c r="AN378" s="149"/>
      <c r="AO378" s="149"/>
      <c r="AP378" s="149"/>
      <c r="AQ378" s="149"/>
      <c r="AR378" s="149"/>
      <c r="AS378" s="149"/>
      <c r="AT378" s="149"/>
      <c r="AU378" s="149"/>
      <c r="AV378" s="149"/>
      <c r="AW378" s="149"/>
      <c r="AX378" s="149"/>
      <c r="AY378" s="149"/>
      <c r="AZ378" s="149"/>
      <c r="BA378" s="149"/>
      <c r="BB378" s="149"/>
      <c r="BC378" s="149"/>
      <c r="BD378" s="149"/>
      <c r="BE378" s="149"/>
      <c r="BF378" s="149"/>
      <c r="BG378" s="149"/>
    </row>
    <row r="379" spans="1:59">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c r="X379" s="149"/>
      <c r="Y379" s="149"/>
      <c r="Z379" s="149"/>
      <c r="AA379" s="149"/>
      <c r="AB379" s="149"/>
      <c r="AC379" s="149"/>
      <c r="AD379" s="149"/>
      <c r="AE379" s="149"/>
      <c r="AF379" s="149"/>
      <c r="AG379" s="149"/>
      <c r="AH379" s="149"/>
      <c r="AI379" s="149"/>
      <c r="AJ379" s="149"/>
      <c r="AK379" s="149"/>
      <c r="AL379" s="149"/>
      <c r="AM379" s="149"/>
      <c r="AN379" s="149"/>
      <c r="AO379" s="149"/>
      <c r="AP379" s="149"/>
      <c r="AQ379" s="149"/>
      <c r="AR379" s="149"/>
      <c r="AS379" s="149"/>
      <c r="AT379" s="149"/>
      <c r="AU379" s="149"/>
      <c r="AV379" s="149"/>
      <c r="AW379" s="149"/>
      <c r="AX379" s="149"/>
      <c r="AY379" s="149"/>
      <c r="AZ379" s="149"/>
      <c r="BA379" s="149"/>
      <c r="BB379" s="149"/>
      <c r="BC379" s="149"/>
      <c r="BD379" s="149"/>
      <c r="BE379" s="149"/>
      <c r="BF379" s="149"/>
      <c r="BG379" s="149"/>
    </row>
    <row r="380" spans="1:59">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c r="X380" s="149"/>
      <c r="Y380" s="149"/>
      <c r="Z380" s="149"/>
      <c r="AA380" s="149"/>
      <c r="AB380" s="149"/>
      <c r="AC380" s="149"/>
      <c r="AD380" s="149"/>
      <c r="AE380" s="149"/>
      <c r="AF380" s="149"/>
      <c r="AG380" s="149"/>
      <c r="AH380" s="149"/>
      <c r="AI380" s="149"/>
      <c r="AJ380" s="149"/>
      <c r="AK380" s="149"/>
      <c r="AL380" s="149"/>
      <c r="AM380" s="149"/>
      <c r="AN380" s="149"/>
      <c r="AO380" s="149"/>
      <c r="AP380" s="149"/>
      <c r="AQ380" s="149"/>
      <c r="AR380" s="149"/>
      <c r="AS380" s="149"/>
      <c r="AT380" s="149"/>
      <c r="AU380" s="149"/>
      <c r="AV380" s="149"/>
      <c r="AW380" s="149"/>
      <c r="AX380" s="149"/>
      <c r="AY380" s="149"/>
      <c r="AZ380" s="149"/>
      <c r="BA380" s="149"/>
      <c r="BB380" s="149"/>
      <c r="BC380" s="149"/>
      <c r="BD380" s="149"/>
      <c r="BE380" s="149"/>
      <c r="BF380" s="149"/>
      <c r="BG380" s="149"/>
    </row>
    <row r="381" spans="1:59">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c r="X381" s="149"/>
      <c r="Y381" s="149"/>
      <c r="Z381" s="149"/>
      <c r="AA381" s="149"/>
      <c r="AB381" s="149"/>
      <c r="AC381" s="149"/>
      <c r="AD381" s="149"/>
      <c r="AE381" s="149"/>
      <c r="AF381" s="149"/>
      <c r="AG381" s="149"/>
      <c r="AH381" s="149"/>
      <c r="AI381" s="149"/>
      <c r="AJ381" s="149"/>
      <c r="AK381" s="149"/>
      <c r="AL381" s="149"/>
      <c r="AM381" s="149"/>
      <c r="AN381" s="149"/>
      <c r="AO381" s="149"/>
      <c r="AP381" s="149"/>
      <c r="AQ381" s="149"/>
      <c r="AR381" s="149"/>
      <c r="AS381" s="149"/>
      <c r="AT381" s="149"/>
      <c r="AU381" s="149"/>
      <c r="AV381" s="149"/>
      <c r="AW381" s="149"/>
      <c r="AX381" s="149"/>
      <c r="AY381" s="149"/>
      <c r="AZ381" s="149"/>
      <c r="BA381" s="149"/>
      <c r="BB381" s="149"/>
      <c r="BC381" s="149"/>
      <c r="BD381" s="149"/>
      <c r="BE381" s="149"/>
      <c r="BF381" s="149"/>
      <c r="BG381" s="149"/>
    </row>
    <row r="382" spans="1:59">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c r="X382" s="149"/>
      <c r="Y382" s="149"/>
      <c r="Z382" s="149"/>
      <c r="AA382" s="149"/>
      <c r="AB382" s="149"/>
      <c r="AC382" s="149"/>
      <c r="AD382" s="149"/>
      <c r="AE382" s="149"/>
      <c r="AF382" s="149"/>
      <c r="AG382" s="149"/>
      <c r="AH382" s="149"/>
      <c r="AI382" s="149"/>
      <c r="AJ382" s="149"/>
      <c r="AK382" s="149"/>
      <c r="AL382" s="149"/>
      <c r="AM382" s="149"/>
      <c r="AN382" s="149"/>
      <c r="AO382" s="149"/>
      <c r="AP382" s="149"/>
      <c r="AQ382" s="149"/>
      <c r="AR382" s="149"/>
      <c r="AS382" s="149"/>
      <c r="AT382" s="149"/>
      <c r="AU382" s="149"/>
      <c r="AV382" s="149"/>
      <c r="AW382" s="149"/>
      <c r="AX382" s="149"/>
      <c r="AY382" s="149"/>
      <c r="AZ382" s="149"/>
      <c r="BA382" s="149"/>
      <c r="BB382" s="149"/>
      <c r="BC382" s="149"/>
      <c r="BD382" s="149"/>
      <c r="BE382" s="149"/>
      <c r="BF382" s="149"/>
      <c r="BG382" s="149"/>
    </row>
    <row r="383" spans="1:59">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149"/>
      <c r="Z383" s="149"/>
      <c r="AA383" s="149"/>
      <c r="AB383" s="149"/>
      <c r="AC383" s="149"/>
      <c r="AD383" s="149"/>
      <c r="AE383" s="149"/>
      <c r="AF383" s="149"/>
      <c r="AG383" s="149"/>
      <c r="AH383" s="149"/>
      <c r="AI383" s="149"/>
      <c r="AJ383" s="149"/>
      <c r="AK383" s="149"/>
      <c r="AL383" s="149"/>
      <c r="AM383" s="149"/>
      <c r="AN383" s="149"/>
      <c r="AO383" s="149"/>
      <c r="AP383" s="149"/>
      <c r="AQ383" s="149"/>
      <c r="AR383" s="149"/>
      <c r="AS383" s="149"/>
      <c r="AT383" s="149"/>
      <c r="AU383" s="149"/>
      <c r="AV383" s="149"/>
      <c r="AW383" s="149"/>
      <c r="AX383" s="149"/>
      <c r="AY383" s="149"/>
      <c r="AZ383" s="149"/>
      <c r="BA383" s="149"/>
      <c r="BB383" s="149"/>
      <c r="BC383" s="149"/>
      <c r="BD383" s="149"/>
      <c r="BE383" s="149"/>
      <c r="BF383" s="149"/>
      <c r="BG383" s="149"/>
    </row>
    <row r="384" spans="1:59">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c r="X384" s="149"/>
      <c r="Y384" s="149"/>
      <c r="Z384" s="149"/>
      <c r="AA384" s="149"/>
      <c r="AB384" s="149"/>
      <c r="AC384" s="149"/>
      <c r="AD384" s="149"/>
      <c r="AE384" s="149"/>
      <c r="AF384" s="149"/>
      <c r="AG384" s="149"/>
      <c r="AH384" s="149"/>
      <c r="AI384" s="149"/>
      <c r="AJ384" s="149"/>
      <c r="AK384" s="149"/>
      <c r="AL384" s="149"/>
      <c r="AM384" s="149"/>
      <c r="AN384" s="149"/>
      <c r="AO384" s="149"/>
      <c r="AP384" s="149"/>
      <c r="AQ384" s="149"/>
      <c r="AR384" s="149"/>
      <c r="AS384" s="149"/>
      <c r="AT384" s="149"/>
      <c r="AU384" s="149"/>
      <c r="AV384" s="149"/>
      <c r="AW384" s="149"/>
      <c r="AX384" s="149"/>
      <c r="AY384" s="149"/>
      <c r="AZ384" s="149"/>
      <c r="BA384" s="149"/>
      <c r="BB384" s="149"/>
      <c r="BC384" s="149"/>
      <c r="BD384" s="149"/>
      <c r="BE384" s="149"/>
      <c r="BF384" s="149"/>
      <c r="BG384" s="149"/>
    </row>
    <row r="385" spans="1:59">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c r="X385" s="149"/>
      <c r="Y385" s="149"/>
      <c r="Z385" s="149"/>
      <c r="AA385" s="149"/>
      <c r="AB385" s="149"/>
      <c r="AC385" s="149"/>
      <c r="AD385" s="149"/>
      <c r="AE385" s="149"/>
      <c r="AF385" s="149"/>
      <c r="AG385" s="149"/>
      <c r="AH385" s="149"/>
      <c r="AI385" s="149"/>
      <c r="AJ385" s="149"/>
      <c r="AK385" s="149"/>
      <c r="AL385" s="149"/>
      <c r="AM385" s="149"/>
      <c r="AN385" s="149"/>
      <c r="AO385" s="149"/>
      <c r="AP385" s="149"/>
      <c r="AQ385" s="149"/>
      <c r="AR385" s="149"/>
      <c r="AS385" s="149"/>
      <c r="AT385" s="149"/>
      <c r="AU385" s="149"/>
      <c r="AV385" s="149"/>
      <c r="AW385" s="149"/>
      <c r="AX385" s="149"/>
      <c r="AY385" s="149"/>
      <c r="AZ385" s="149"/>
      <c r="BA385" s="149"/>
      <c r="BB385" s="149"/>
      <c r="BC385" s="149"/>
      <c r="BD385" s="149"/>
      <c r="BE385" s="149"/>
      <c r="BF385" s="149"/>
      <c r="BG385" s="149"/>
    </row>
    <row r="386" spans="1:59">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c r="X386" s="149"/>
      <c r="Y386" s="149"/>
      <c r="Z386" s="149"/>
      <c r="AA386" s="149"/>
      <c r="AB386" s="149"/>
      <c r="AC386" s="149"/>
      <c r="AD386" s="149"/>
      <c r="AE386" s="149"/>
      <c r="AF386" s="149"/>
      <c r="AG386" s="149"/>
      <c r="AH386" s="149"/>
      <c r="AI386" s="149"/>
      <c r="AJ386" s="149"/>
      <c r="AK386" s="149"/>
      <c r="AL386" s="149"/>
      <c r="AM386" s="149"/>
      <c r="AN386" s="149"/>
      <c r="AO386" s="149"/>
      <c r="AP386" s="149"/>
      <c r="AQ386" s="149"/>
      <c r="AR386" s="149"/>
      <c r="AS386" s="149"/>
      <c r="AT386" s="149"/>
      <c r="AU386" s="149"/>
      <c r="AV386" s="149"/>
      <c r="AW386" s="149"/>
      <c r="AX386" s="149"/>
      <c r="AY386" s="149"/>
      <c r="AZ386" s="149"/>
      <c r="BA386" s="149"/>
      <c r="BB386" s="149"/>
      <c r="BC386" s="149"/>
      <c r="BD386" s="149"/>
      <c r="BE386" s="149"/>
      <c r="BF386" s="149"/>
      <c r="BG386" s="149"/>
    </row>
    <row r="387" spans="1:59">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c r="X387" s="149"/>
      <c r="Y387" s="149"/>
      <c r="Z387" s="149"/>
      <c r="AA387" s="149"/>
      <c r="AB387" s="149"/>
      <c r="AC387" s="149"/>
      <c r="AD387" s="149"/>
      <c r="AE387" s="149"/>
      <c r="AF387" s="149"/>
      <c r="AG387" s="149"/>
      <c r="AH387" s="149"/>
      <c r="AI387" s="149"/>
      <c r="AJ387" s="149"/>
      <c r="AK387" s="149"/>
      <c r="AL387" s="149"/>
      <c r="AM387" s="149"/>
      <c r="AN387" s="149"/>
      <c r="AO387" s="149"/>
      <c r="AP387" s="149"/>
      <c r="AQ387" s="149"/>
      <c r="AR387" s="149"/>
      <c r="AS387" s="149"/>
      <c r="AT387" s="149"/>
      <c r="AU387" s="149"/>
      <c r="AV387" s="149"/>
      <c r="AW387" s="149"/>
      <c r="AX387" s="149"/>
      <c r="AY387" s="149"/>
      <c r="AZ387" s="149"/>
      <c r="BA387" s="149"/>
      <c r="BB387" s="149"/>
      <c r="BC387" s="149"/>
      <c r="BD387" s="149"/>
      <c r="BE387" s="149"/>
      <c r="BF387" s="149"/>
      <c r="BG387" s="149"/>
    </row>
    <row r="388" spans="1:59">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c r="X388" s="149"/>
      <c r="Y388" s="149"/>
      <c r="Z388" s="149"/>
      <c r="AA388" s="149"/>
      <c r="AB388" s="149"/>
      <c r="AC388" s="149"/>
      <c r="AD388" s="149"/>
      <c r="AE388" s="149"/>
      <c r="AF388" s="149"/>
      <c r="AG388" s="149"/>
      <c r="AH388" s="149"/>
      <c r="AI388" s="149"/>
      <c r="AJ388" s="149"/>
      <c r="AK388" s="149"/>
      <c r="AL388" s="149"/>
      <c r="AM388" s="149"/>
      <c r="AN388" s="149"/>
      <c r="AO388" s="149"/>
      <c r="AP388" s="149"/>
      <c r="AQ388" s="149"/>
      <c r="AR388" s="149"/>
      <c r="AS388" s="149"/>
      <c r="AT388" s="149"/>
      <c r="AU388" s="149"/>
      <c r="AV388" s="149"/>
      <c r="AW388" s="149"/>
      <c r="AX388" s="149"/>
      <c r="AY388" s="149"/>
      <c r="AZ388" s="149"/>
      <c r="BA388" s="149"/>
      <c r="BB388" s="149"/>
      <c r="BC388" s="149"/>
      <c r="BD388" s="149"/>
      <c r="BE388" s="149"/>
      <c r="BF388" s="149"/>
      <c r="BG388" s="149"/>
    </row>
    <row r="389" spans="1:59">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c r="X389" s="149"/>
      <c r="Y389" s="149"/>
      <c r="Z389" s="149"/>
      <c r="AA389" s="149"/>
      <c r="AB389" s="149"/>
      <c r="AC389" s="149"/>
      <c r="AD389" s="149"/>
      <c r="AE389" s="149"/>
      <c r="AF389" s="149"/>
      <c r="AG389" s="149"/>
      <c r="AH389" s="149"/>
      <c r="AI389" s="149"/>
      <c r="AJ389" s="149"/>
      <c r="AK389" s="149"/>
      <c r="AL389" s="149"/>
      <c r="AM389" s="149"/>
      <c r="AN389" s="149"/>
      <c r="AO389" s="149"/>
      <c r="AP389" s="149"/>
      <c r="AQ389" s="149"/>
      <c r="AR389" s="149"/>
      <c r="AS389" s="149"/>
      <c r="AT389" s="149"/>
      <c r="AU389" s="149"/>
      <c r="AV389" s="149"/>
      <c r="AW389" s="149"/>
      <c r="AX389" s="149"/>
      <c r="AY389" s="149"/>
      <c r="AZ389" s="149"/>
      <c r="BA389" s="149"/>
      <c r="BB389" s="149"/>
      <c r="BC389" s="149"/>
      <c r="BD389" s="149"/>
      <c r="BE389" s="149"/>
      <c r="BF389" s="149"/>
      <c r="BG389" s="149"/>
    </row>
    <row r="390" spans="1:59">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149"/>
      <c r="Z390" s="149"/>
      <c r="AA390" s="149"/>
      <c r="AB390" s="149"/>
      <c r="AC390" s="149"/>
      <c r="AD390" s="149"/>
      <c r="AE390" s="149"/>
      <c r="AF390" s="149"/>
      <c r="AG390" s="149"/>
      <c r="AH390" s="149"/>
      <c r="AI390" s="149"/>
      <c r="AJ390" s="149"/>
      <c r="AK390" s="149"/>
      <c r="AL390" s="149"/>
      <c r="AM390" s="149"/>
      <c r="AN390" s="149"/>
      <c r="AO390" s="149"/>
      <c r="AP390" s="149"/>
      <c r="AQ390" s="149"/>
      <c r="AR390" s="149"/>
      <c r="AS390" s="149"/>
      <c r="AT390" s="149"/>
      <c r="AU390" s="149"/>
      <c r="AV390" s="149"/>
      <c r="AW390" s="149"/>
      <c r="AX390" s="149"/>
      <c r="AY390" s="149"/>
      <c r="AZ390" s="149"/>
      <c r="BA390" s="149"/>
      <c r="BB390" s="149"/>
      <c r="BC390" s="149"/>
      <c r="BD390" s="149"/>
      <c r="BE390" s="149"/>
      <c r="BF390" s="149"/>
      <c r="BG390" s="149"/>
    </row>
    <row r="391" spans="1:59">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c r="X391" s="149"/>
      <c r="Y391" s="149"/>
      <c r="Z391" s="149"/>
      <c r="AA391" s="149"/>
      <c r="AB391" s="149"/>
      <c r="AC391" s="149"/>
      <c r="AD391" s="149"/>
      <c r="AE391" s="149"/>
      <c r="AF391" s="149"/>
      <c r="AG391" s="149"/>
      <c r="AH391" s="149"/>
      <c r="AI391" s="149"/>
      <c r="AJ391" s="149"/>
      <c r="AK391" s="149"/>
      <c r="AL391" s="149"/>
      <c r="AM391" s="149"/>
      <c r="AN391" s="149"/>
      <c r="AO391" s="149"/>
      <c r="AP391" s="149"/>
      <c r="AQ391" s="149"/>
      <c r="AR391" s="149"/>
      <c r="AS391" s="149"/>
      <c r="AT391" s="149"/>
      <c r="AU391" s="149"/>
      <c r="AV391" s="149"/>
      <c r="AW391" s="149"/>
      <c r="AX391" s="149"/>
      <c r="AY391" s="149"/>
      <c r="AZ391" s="149"/>
      <c r="BA391" s="149"/>
      <c r="BB391" s="149"/>
      <c r="BC391" s="149"/>
      <c r="BD391" s="149"/>
      <c r="BE391" s="149"/>
      <c r="BF391" s="149"/>
      <c r="BG391" s="149"/>
    </row>
    <row r="392" spans="1:59">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c r="X392" s="149"/>
      <c r="Y392" s="149"/>
      <c r="Z392" s="149"/>
      <c r="AA392" s="149"/>
      <c r="AB392" s="149"/>
      <c r="AC392" s="149"/>
      <c r="AD392" s="149"/>
      <c r="AE392" s="149"/>
      <c r="AF392" s="149"/>
      <c r="AG392" s="149"/>
      <c r="AH392" s="149"/>
      <c r="AI392" s="149"/>
      <c r="AJ392" s="149"/>
      <c r="AK392" s="149"/>
      <c r="AL392" s="149"/>
      <c r="AM392" s="149"/>
      <c r="AN392" s="149"/>
      <c r="AO392" s="149"/>
      <c r="AP392" s="149"/>
      <c r="AQ392" s="149"/>
      <c r="AR392" s="149"/>
      <c r="AS392" s="149"/>
      <c r="AT392" s="149"/>
      <c r="AU392" s="149"/>
      <c r="AV392" s="149"/>
      <c r="AW392" s="149"/>
      <c r="AX392" s="149"/>
      <c r="AY392" s="149"/>
      <c r="AZ392" s="149"/>
      <c r="BA392" s="149"/>
      <c r="BB392" s="149"/>
      <c r="BC392" s="149"/>
      <c r="BD392" s="149"/>
      <c r="BE392" s="149"/>
      <c r="BF392" s="149"/>
      <c r="BG392" s="149"/>
    </row>
    <row r="393" spans="1:59">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c r="X393" s="149"/>
      <c r="Y393" s="149"/>
      <c r="Z393" s="149"/>
      <c r="AA393" s="149"/>
      <c r="AB393" s="149"/>
      <c r="AC393" s="149"/>
      <c r="AD393" s="149"/>
      <c r="AE393" s="149"/>
      <c r="AF393" s="149"/>
      <c r="AG393" s="149"/>
      <c r="AH393" s="149"/>
      <c r="AI393" s="149"/>
      <c r="AJ393" s="149"/>
      <c r="AK393" s="149"/>
      <c r="AL393" s="149"/>
      <c r="AM393" s="149"/>
      <c r="AN393" s="149"/>
      <c r="AO393" s="149"/>
      <c r="AP393" s="149"/>
      <c r="AQ393" s="149"/>
      <c r="AR393" s="149"/>
      <c r="AS393" s="149"/>
      <c r="AT393" s="149"/>
      <c r="AU393" s="149"/>
      <c r="AV393" s="149"/>
      <c r="AW393" s="149"/>
      <c r="AX393" s="149"/>
      <c r="AY393" s="149"/>
      <c r="AZ393" s="149"/>
      <c r="BA393" s="149"/>
      <c r="BB393" s="149"/>
      <c r="BC393" s="149"/>
      <c r="BD393" s="149"/>
      <c r="BE393" s="149"/>
      <c r="BF393" s="149"/>
      <c r="BG393" s="149"/>
    </row>
    <row r="394" spans="1:59">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c r="X394" s="149"/>
      <c r="Y394" s="149"/>
      <c r="Z394" s="149"/>
      <c r="AA394" s="149"/>
      <c r="AB394" s="149"/>
      <c r="AC394" s="149"/>
      <c r="AD394" s="149"/>
      <c r="AE394" s="149"/>
      <c r="AF394" s="149"/>
      <c r="AG394" s="149"/>
      <c r="AH394" s="149"/>
      <c r="AI394" s="149"/>
      <c r="AJ394" s="149"/>
      <c r="AK394" s="149"/>
      <c r="AL394" s="149"/>
      <c r="AM394" s="149"/>
      <c r="AN394" s="149"/>
      <c r="AO394" s="149"/>
      <c r="AP394" s="149"/>
      <c r="AQ394" s="149"/>
      <c r="AR394" s="149"/>
      <c r="AS394" s="149"/>
      <c r="AT394" s="149"/>
      <c r="AU394" s="149"/>
      <c r="AV394" s="149"/>
      <c r="AW394" s="149"/>
      <c r="AX394" s="149"/>
      <c r="AY394" s="149"/>
      <c r="AZ394" s="149"/>
      <c r="BA394" s="149"/>
      <c r="BB394" s="149"/>
      <c r="BC394" s="149"/>
      <c r="BD394" s="149"/>
      <c r="BE394" s="149"/>
      <c r="BF394" s="149"/>
      <c r="BG394" s="149"/>
    </row>
  </sheetData>
  <sheetProtection selectLockedCells="1"/>
  <mergeCells count="7">
    <mergeCell ref="B2:L2"/>
    <mergeCell ref="B4:K4"/>
    <mergeCell ref="B25:B30"/>
    <mergeCell ref="B21:B23"/>
    <mergeCell ref="B6:C6"/>
    <mergeCell ref="B16:C16"/>
    <mergeCell ref="B12:C12"/>
  </mergeCells>
  <dataValidations count="2">
    <dataValidation type="list" allowBlank="1" showInputMessage="1" showErrorMessage="1" sqref="E32" xr:uid="{00000000-0002-0000-0100-000000000000}">
      <formula1>"WACC1,WACC2"</formula1>
    </dataValidation>
    <dataValidation type="list" allowBlank="1" showInputMessage="1" showErrorMessage="1" sqref="G14" xr:uid="{00000000-0002-0000-0100-000001000000}">
      <formula1>"Yes,No"</formula1>
    </dataValidation>
  </dataValidations>
  <hyperlinks>
    <hyperlink ref="B3" location="'Navigation Pane'!A1" display="Return to Navigation Pane" xr:uid="{ED50914F-D45A-483C-A007-3BED2D24E22C}"/>
  </hyperlinks>
  <pageMargins left="0.23622047244094491" right="0.23622047244094491" top="0.74803149606299213" bottom="0.74803149606299213" header="0.31496062992125984" footer="0.31496062992125984"/>
  <pageSetup paperSize="9" scale="77" fitToHeight="0"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120C-EE46-4CC6-91CE-8237E7C95327}">
  <sheetPr codeName="Sheet2"/>
  <dimension ref="A1:IP577"/>
  <sheetViews>
    <sheetView zoomScale="70" zoomScaleNormal="70" zoomScaleSheetLayoutView="25" workbookViewId="0"/>
  </sheetViews>
  <sheetFormatPr defaultColWidth="9" defaultRowHeight="16.5"/>
  <cols>
    <col min="1" max="1" width="3.75" style="33" customWidth="1"/>
    <col min="2" max="2" width="25.625" style="1" bestFit="1" customWidth="1"/>
    <col min="3" max="3" width="13.25" style="1" bestFit="1" customWidth="1"/>
    <col min="4" max="4" width="10.75" style="1" bestFit="1" customWidth="1"/>
    <col min="5" max="5" width="12" style="1" bestFit="1" customWidth="1"/>
    <col min="6" max="6" width="64.25" style="1" bestFit="1" customWidth="1"/>
    <col min="7" max="7" width="10" style="1" bestFit="1" customWidth="1"/>
    <col min="8" max="8" width="13.75" style="43" bestFit="1" customWidth="1"/>
    <col min="9" max="9" width="5.75" style="1" bestFit="1" customWidth="1"/>
    <col min="10" max="10" width="21.25" style="1" bestFit="1" customWidth="1"/>
    <col min="11" max="11" width="8.5" style="43" bestFit="1" customWidth="1"/>
    <col min="12" max="12" width="9.25" style="1" bestFit="1" customWidth="1"/>
    <col min="13" max="13" width="15" style="54" bestFit="1" customWidth="1"/>
    <col min="14" max="14" width="5.5" style="1" bestFit="1" customWidth="1"/>
    <col min="15" max="15" width="4.625" style="1" bestFit="1" customWidth="1"/>
    <col min="16" max="16" width="14.25" style="54" bestFit="1" customWidth="1"/>
    <col min="17" max="21" width="9.75" style="1" customWidth="1"/>
    <col min="22" max="22" width="2" style="33" customWidth="1"/>
    <col min="23" max="24" width="8.75" style="58" customWidth="1"/>
    <col min="25" max="25" width="9.25" style="58" customWidth="1"/>
    <col min="26" max="26" width="8.75" style="58" customWidth="1"/>
    <col min="27" max="27" width="8.125" style="16" customWidth="1"/>
    <col min="28" max="28" width="14.125" style="12" customWidth="1"/>
    <col min="29" max="29" width="1.5" style="33" customWidth="1"/>
    <col min="30" max="30" width="10.25" style="43" bestFit="1" customWidth="1"/>
    <col min="31" max="31" width="16.5" style="43" bestFit="1" customWidth="1"/>
    <col min="32" max="32" width="15" style="43" bestFit="1" customWidth="1"/>
    <col min="33" max="33" width="17.25" style="43" bestFit="1" customWidth="1"/>
    <col min="34" max="34" width="12.625" style="1" bestFit="1" customWidth="1"/>
    <col min="35" max="93" width="9" style="33"/>
    <col min="94" max="16384" width="9" style="1"/>
  </cols>
  <sheetData>
    <row r="1" spans="1:250" s="257" customFormat="1" ht="19.5" thickBot="1">
      <c r="B1" s="382" t="str">
        <f>'Navigation Pane'!B2</f>
        <v>Brisbane City Council</v>
      </c>
      <c r="C1" s="382"/>
      <c r="D1" s="382"/>
      <c r="E1" s="382"/>
      <c r="F1" s="382"/>
      <c r="G1" s="382"/>
      <c r="H1" s="382"/>
      <c r="I1" s="382"/>
      <c r="J1" s="383"/>
      <c r="K1" s="383"/>
      <c r="L1" s="383"/>
      <c r="M1" s="383"/>
      <c r="N1" s="383"/>
      <c r="O1" s="383"/>
      <c r="P1" s="383"/>
      <c r="Q1" s="382"/>
      <c r="R1" s="382"/>
      <c r="S1" s="382"/>
      <c r="T1" s="382"/>
      <c r="U1" s="384"/>
      <c r="V1" s="382"/>
      <c r="W1" s="383"/>
      <c r="X1" s="382"/>
      <c r="Y1" s="382"/>
      <c r="Z1" s="258"/>
      <c r="AB1" s="259"/>
      <c r="AC1" s="258"/>
      <c r="CE1" s="260"/>
      <c r="CF1" s="261"/>
      <c r="CG1" s="261"/>
      <c r="CH1" s="261"/>
      <c r="EH1" s="260"/>
      <c r="EI1" s="258"/>
      <c r="EJ1" s="258"/>
      <c r="EK1" s="258"/>
      <c r="EL1" s="258"/>
      <c r="EM1" s="258"/>
      <c r="EN1" s="258"/>
      <c r="EO1" s="258"/>
      <c r="EP1" s="258"/>
      <c r="EQ1" s="258"/>
      <c r="ER1" s="258"/>
      <c r="ES1" s="258"/>
      <c r="ET1" s="258"/>
      <c r="EU1" s="258"/>
      <c r="EV1" s="258"/>
      <c r="EW1" s="258"/>
      <c r="EX1" s="258"/>
      <c r="EY1" s="258"/>
      <c r="EZ1" s="258"/>
      <c r="FA1" s="258"/>
      <c r="FB1" s="258"/>
      <c r="FC1" s="258"/>
      <c r="FD1" s="258"/>
      <c r="FE1" s="258"/>
      <c r="FF1" s="258"/>
      <c r="FG1" s="258"/>
      <c r="FH1" s="258"/>
      <c r="FI1" s="258"/>
      <c r="FJ1" s="258"/>
      <c r="FK1" s="258"/>
      <c r="FL1" s="258"/>
      <c r="FM1" s="258"/>
      <c r="FN1" s="258"/>
      <c r="FO1" s="258"/>
      <c r="FP1" s="258"/>
      <c r="FQ1" s="258"/>
      <c r="FR1" s="258"/>
      <c r="FS1" s="258"/>
      <c r="FT1" s="258"/>
      <c r="FU1" s="258"/>
      <c r="FV1" s="258"/>
      <c r="FW1" s="258"/>
      <c r="FX1" s="258"/>
      <c r="FY1" s="258"/>
      <c r="FZ1" s="258"/>
      <c r="GA1" s="258"/>
      <c r="GB1" s="258"/>
      <c r="GC1" s="258"/>
      <c r="GD1" s="258"/>
      <c r="GE1" s="258"/>
      <c r="GF1" s="258"/>
      <c r="GG1" s="258"/>
      <c r="GH1" s="258"/>
      <c r="GI1" s="258"/>
      <c r="GJ1" s="258"/>
      <c r="GK1" s="260"/>
      <c r="GL1" s="260"/>
      <c r="GM1" s="260"/>
      <c r="GN1" s="260"/>
      <c r="GO1" s="260"/>
      <c r="GP1" s="260"/>
      <c r="GQ1" s="260"/>
      <c r="GR1" s="260"/>
      <c r="GS1" s="260"/>
      <c r="GT1" s="260"/>
      <c r="GU1" s="260"/>
      <c r="GV1" s="260"/>
      <c r="GW1" s="260"/>
      <c r="GX1" s="260"/>
      <c r="GY1" s="260"/>
      <c r="GZ1" s="260"/>
      <c r="HA1" s="260"/>
      <c r="HB1" s="260"/>
      <c r="HC1" s="260"/>
      <c r="HD1" s="260"/>
      <c r="HE1" s="260"/>
      <c r="HF1" s="260"/>
      <c r="HG1" s="260"/>
      <c r="HH1" s="260"/>
      <c r="HI1" s="260"/>
      <c r="HJ1" s="260"/>
      <c r="HK1" s="260"/>
      <c r="HL1" s="260"/>
      <c r="HM1" s="260"/>
      <c r="HN1" s="260"/>
      <c r="HO1" s="260"/>
      <c r="HP1" s="260"/>
      <c r="HQ1" s="260"/>
      <c r="HR1" s="260"/>
      <c r="HS1" s="260"/>
      <c r="HT1" s="260"/>
      <c r="HU1" s="260"/>
      <c r="HV1" s="260"/>
      <c r="HW1" s="260"/>
      <c r="HX1" s="260"/>
      <c r="HY1" s="260"/>
      <c r="HZ1" s="260"/>
      <c r="IA1" s="260"/>
      <c r="IB1" s="260"/>
      <c r="IC1" s="260"/>
      <c r="ID1" s="260"/>
      <c r="IE1" s="260"/>
      <c r="IF1" s="260"/>
      <c r="IG1" s="260"/>
      <c r="IH1" s="260"/>
      <c r="II1" s="260"/>
      <c r="IJ1" s="260"/>
      <c r="IK1" s="260"/>
      <c r="IL1" s="260"/>
      <c r="IM1" s="260"/>
      <c r="IN1" s="260"/>
      <c r="IO1" s="260"/>
      <c r="IP1" s="260"/>
    </row>
    <row r="2" spans="1:250" s="257" customFormat="1" ht="20.25" thickTop="1" thickBot="1">
      <c r="B2" s="382" t="s">
        <v>115</v>
      </c>
      <c r="C2" s="382"/>
      <c r="D2" s="382"/>
      <c r="E2" s="382"/>
      <c r="F2" s="382"/>
      <c r="G2" s="382"/>
      <c r="H2" s="382"/>
      <c r="I2" s="382"/>
      <c r="J2" s="383"/>
      <c r="K2" s="383"/>
      <c r="L2" s="383"/>
      <c r="M2" s="383"/>
      <c r="N2" s="383"/>
      <c r="O2" s="383"/>
      <c r="P2" s="383"/>
      <c r="Q2" s="382"/>
      <c r="R2" s="382"/>
      <c r="S2" s="382"/>
      <c r="T2" s="382"/>
      <c r="U2" s="384"/>
      <c r="V2" s="382"/>
      <c r="W2" s="383"/>
      <c r="X2" s="382"/>
      <c r="Y2" s="382"/>
      <c r="Z2" s="258"/>
      <c r="AB2" s="259"/>
      <c r="AC2" s="258"/>
      <c r="CE2" s="260"/>
      <c r="CF2" s="261"/>
      <c r="CG2" s="261"/>
      <c r="CH2" s="261"/>
      <c r="EH2" s="260"/>
      <c r="EI2" s="258"/>
      <c r="EJ2" s="258"/>
      <c r="EK2" s="258"/>
      <c r="EL2" s="258"/>
      <c r="EM2" s="258"/>
      <c r="EN2" s="258"/>
      <c r="EO2" s="258"/>
      <c r="EP2" s="258"/>
      <c r="EQ2" s="258"/>
      <c r="ER2" s="258"/>
      <c r="ES2" s="258"/>
      <c r="ET2" s="258"/>
      <c r="EU2" s="258"/>
      <c r="EV2" s="258"/>
      <c r="EW2" s="258"/>
      <c r="EX2" s="258"/>
      <c r="EY2" s="258"/>
      <c r="EZ2" s="258"/>
      <c r="FA2" s="258"/>
      <c r="FB2" s="258"/>
      <c r="FC2" s="258"/>
      <c r="FD2" s="258"/>
      <c r="FE2" s="258"/>
      <c r="FF2" s="258"/>
      <c r="FG2" s="258"/>
      <c r="FH2" s="258"/>
      <c r="FI2" s="258"/>
      <c r="FJ2" s="258"/>
      <c r="FK2" s="258"/>
      <c r="FL2" s="258"/>
      <c r="FM2" s="258"/>
      <c r="FN2" s="258"/>
      <c r="FO2" s="258"/>
      <c r="FP2" s="258"/>
      <c r="FQ2" s="258"/>
      <c r="FR2" s="258"/>
      <c r="FS2" s="258"/>
      <c r="FT2" s="258"/>
      <c r="FU2" s="258"/>
      <c r="FV2" s="258"/>
      <c r="FW2" s="258"/>
      <c r="FX2" s="258"/>
      <c r="FY2" s="258"/>
      <c r="FZ2" s="258"/>
      <c r="GA2" s="258"/>
      <c r="GB2" s="258"/>
      <c r="GC2" s="258"/>
      <c r="GD2" s="258"/>
      <c r="GE2" s="258"/>
      <c r="GF2" s="258"/>
      <c r="GG2" s="258"/>
      <c r="GH2" s="258"/>
      <c r="GI2" s="258"/>
      <c r="GJ2" s="258"/>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c r="IM2" s="260"/>
      <c r="IN2" s="260"/>
      <c r="IO2" s="260"/>
      <c r="IP2" s="260"/>
    </row>
    <row r="3" spans="1:250" s="32" customFormat="1" ht="19.5" thickTop="1">
      <c r="A3" s="132"/>
      <c r="B3" s="45" t="s">
        <v>49</v>
      </c>
      <c r="C3" s="114"/>
      <c r="D3" s="114"/>
      <c r="E3" s="34"/>
      <c r="F3" s="34"/>
      <c r="G3" s="34"/>
      <c r="H3" s="112"/>
      <c r="I3" s="34"/>
      <c r="J3" s="34"/>
      <c r="K3" s="112"/>
      <c r="L3" s="34"/>
      <c r="M3" s="113"/>
      <c r="N3" s="34"/>
      <c r="O3" s="34"/>
      <c r="P3" s="113"/>
      <c r="Q3" s="34"/>
      <c r="R3" s="34"/>
      <c r="S3" s="34"/>
      <c r="T3" s="34"/>
      <c r="U3" s="34"/>
      <c r="V3" s="34"/>
      <c r="W3" s="109"/>
      <c r="X3" s="109"/>
      <c r="Y3" s="109"/>
      <c r="Z3" s="109"/>
      <c r="AA3" s="110"/>
      <c r="AB3" s="111"/>
      <c r="AC3" s="34"/>
      <c r="AD3" s="112"/>
      <c r="AE3" s="112"/>
      <c r="AF3" s="112"/>
      <c r="AG3" s="112"/>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row>
    <row r="4" spans="1:250" s="257" customFormat="1" ht="19.5" thickBot="1">
      <c r="B4" s="382" t="s">
        <v>96</v>
      </c>
      <c r="C4" s="382"/>
      <c r="D4" s="382"/>
      <c r="E4" s="382"/>
      <c r="F4" s="382"/>
      <c r="G4" s="382"/>
      <c r="H4" s="382"/>
      <c r="I4" s="382"/>
      <c r="J4" s="383"/>
      <c r="K4" s="383"/>
      <c r="L4" s="383"/>
      <c r="M4" s="383"/>
      <c r="N4" s="383"/>
      <c r="O4" s="383"/>
      <c r="P4" s="383"/>
      <c r="Q4" s="382"/>
      <c r="R4" s="382"/>
      <c r="S4" s="382"/>
      <c r="T4" s="382"/>
      <c r="U4" s="384"/>
      <c r="V4" s="382"/>
      <c r="W4" s="383"/>
      <c r="X4" s="382"/>
      <c r="Y4" s="382"/>
      <c r="Z4" s="258"/>
      <c r="AB4" s="259"/>
      <c r="AC4" s="258"/>
      <c r="CE4" s="260"/>
      <c r="CF4" s="261"/>
      <c r="CG4" s="261"/>
      <c r="CH4" s="261"/>
      <c r="EH4" s="260"/>
      <c r="EI4" s="258"/>
      <c r="EJ4" s="258"/>
      <c r="EK4" s="258"/>
      <c r="EL4" s="258"/>
      <c r="EM4" s="258"/>
      <c r="EN4" s="258"/>
      <c r="EO4" s="258"/>
      <c r="EP4" s="258"/>
      <c r="EQ4" s="258"/>
      <c r="ER4" s="258"/>
      <c r="ES4" s="258"/>
      <c r="ET4" s="258"/>
      <c r="EU4" s="258"/>
      <c r="EV4" s="258"/>
      <c r="EW4" s="258"/>
      <c r="EX4" s="258"/>
      <c r="EY4" s="258"/>
      <c r="EZ4" s="258"/>
      <c r="FA4" s="258"/>
      <c r="FB4" s="258"/>
      <c r="FC4" s="258"/>
      <c r="FD4" s="258"/>
      <c r="FE4" s="258"/>
      <c r="FF4" s="258"/>
      <c r="FG4" s="258"/>
      <c r="FH4" s="258"/>
      <c r="FI4" s="258"/>
      <c r="FJ4" s="258"/>
      <c r="FK4" s="258"/>
      <c r="FL4" s="258"/>
      <c r="FM4" s="258"/>
      <c r="FN4" s="258"/>
      <c r="FO4" s="258"/>
      <c r="FP4" s="258"/>
      <c r="FQ4" s="258"/>
      <c r="FR4" s="258"/>
      <c r="FS4" s="258"/>
      <c r="FT4" s="258"/>
      <c r="FU4" s="258"/>
      <c r="FV4" s="258"/>
      <c r="FW4" s="258"/>
      <c r="FX4" s="258"/>
      <c r="FY4" s="258"/>
      <c r="FZ4" s="258"/>
      <c r="GA4" s="258"/>
      <c r="GB4" s="258"/>
      <c r="GC4" s="258"/>
      <c r="GD4" s="258"/>
      <c r="GE4" s="258"/>
      <c r="GF4" s="258"/>
      <c r="GG4" s="258"/>
      <c r="GH4" s="258"/>
      <c r="GI4" s="258"/>
      <c r="GJ4" s="258"/>
      <c r="GK4" s="260"/>
      <c r="GL4" s="260"/>
      <c r="GM4" s="260"/>
      <c r="GN4" s="260"/>
      <c r="GO4" s="260"/>
      <c r="GP4" s="260"/>
      <c r="GQ4" s="260"/>
      <c r="GR4" s="260"/>
      <c r="GS4" s="260"/>
      <c r="GT4" s="260"/>
      <c r="GU4" s="260"/>
      <c r="GV4" s="260"/>
      <c r="GW4" s="260"/>
      <c r="GX4" s="260"/>
      <c r="GY4" s="260"/>
      <c r="GZ4" s="260"/>
      <c r="HA4" s="260"/>
      <c r="HB4" s="260"/>
      <c r="HC4" s="260"/>
      <c r="HD4" s="260"/>
      <c r="HE4" s="260"/>
      <c r="HF4" s="260"/>
      <c r="HG4" s="260"/>
      <c r="HH4" s="260"/>
      <c r="HI4" s="260"/>
      <c r="HJ4" s="260"/>
      <c r="HK4" s="260"/>
      <c r="HL4" s="260"/>
      <c r="HM4" s="260"/>
      <c r="HN4" s="260"/>
      <c r="HO4" s="260"/>
      <c r="HP4" s="260"/>
      <c r="HQ4" s="260"/>
      <c r="HR4" s="260"/>
      <c r="HS4" s="260"/>
      <c r="HT4" s="260"/>
      <c r="HU4" s="260"/>
      <c r="HV4" s="260"/>
      <c r="HW4" s="260"/>
      <c r="HX4" s="260"/>
      <c r="HY4" s="260"/>
      <c r="HZ4" s="260"/>
      <c r="IA4" s="260"/>
      <c r="IB4" s="260"/>
      <c r="IC4" s="260"/>
      <c r="ID4" s="260"/>
      <c r="IE4" s="260"/>
      <c r="IF4" s="260"/>
      <c r="IG4" s="260"/>
      <c r="IH4" s="260"/>
      <c r="II4" s="260"/>
      <c r="IJ4" s="260"/>
      <c r="IK4" s="260"/>
      <c r="IL4" s="260"/>
      <c r="IM4" s="260"/>
      <c r="IN4" s="260"/>
      <c r="IO4" s="260"/>
      <c r="IP4" s="260"/>
    </row>
    <row r="5" spans="1:250" s="17" customFormat="1" ht="18" thickTop="1" thickBot="1">
      <c r="A5" s="33"/>
      <c r="B5" s="33"/>
      <c r="C5" s="33"/>
      <c r="D5" s="33"/>
      <c r="E5" s="33"/>
      <c r="F5" s="33"/>
      <c r="G5" s="33"/>
      <c r="H5" s="42"/>
      <c r="I5" s="33"/>
      <c r="J5" s="33"/>
      <c r="K5" s="42"/>
      <c r="L5" s="33"/>
      <c r="M5" s="55"/>
      <c r="N5" s="33"/>
      <c r="O5" s="33"/>
      <c r="P5" s="55"/>
      <c r="Q5" s="33"/>
      <c r="R5" s="33"/>
      <c r="S5" s="33"/>
      <c r="T5" s="33"/>
      <c r="U5" s="33"/>
      <c r="V5" s="33"/>
      <c r="W5" s="59"/>
      <c r="X5" s="59"/>
      <c r="Y5" s="59"/>
      <c r="Z5" s="59"/>
      <c r="AA5" s="105"/>
      <c r="AB5" s="40"/>
      <c r="AC5" s="33"/>
      <c r="AD5" s="42"/>
      <c r="AE5" s="42"/>
      <c r="AF5" s="42"/>
      <c r="AG5" s="42"/>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row>
    <row r="6" spans="1:250" s="17" customFormat="1" ht="21.75" customHeight="1" thickBot="1">
      <c r="A6" s="33"/>
      <c r="B6" s="385" t="s">
        <v>93</v>
      </c>
      <c r="C6" s="386"/>
      <c r="D6" s="133" t="s">
        <v>90</v>
      </c>
      <c r="E6" s="33"/>
      <c r="F6" s="33"/>
      <c r="G6" s="33"/>
      <c r="H6" s="42"/>
      <c r="I6" s="33"/>
      <c r="J6" s="33"/>
      <c r="K6" s="42"/>
      <c r="L6" s="33"/>
      <c r="M6" s="55"/>
      <c r="N6" s="33"/>
      <c r="O6" s="33"/>
      <c r="P6" s="55"/>
      <c r="Q6" s="33"/>
      <c r="R6" s="33"/>
      <c r="S6" s="33"/>
      <c r="T6" s="33"/>
      <c r="U6" s="33"/>
      <c r="V6" s="33"/>
      <c r="W6" s="59"/>
      <c r="X6" s="59"/>
      <c r="Y6" s="59"/>
      <c r="Z6" s="59"/>
      <c r="AA6" s="105"/>
      <c r="AB6" s="40"/>
      <c r="AC6" s="33"/>
      <c r="AD6" s="42"/>
      <c r="AE6" s="42"/>
      <c r="AF6" s="42"/>
      <c r="AG6" s="42"/>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row>
    <row r="7" spans="1:250" s="17" customFormat="1" ht="17.25" thickBot="1">
      <c r="A7" s="33"/>
      <c r="B7" s="33"/>
      <c r="C7" s="33"/>
      <c r="D7" s="33"/>
      <c r="E7" s="33"/>
      <c r="F7" s="33"/>
      <c r="G7" s="33"/>
      <c r="H7" s="42"/>
      <c r="I7" s="33"/>
      <c r="J7" s="33"/>
      <c r="K7" s="42"/>
      <c r="L7" s="33"/>
      <c r="M7" s="55"/>
      <c r="N7" s="33"/>
      <c r="O7" s="33"/>
      <c r="P7" s="55"/>
      <c r="Q7" s="33"/>
      <c r="R7" s="33"/>
      <c r="S7" s="33"/>
      <c r="T7" s="33"/>
      <c r="U7" s="33"/>
      <c r="V7" s="33"/>
      <c r="W7" s="59"/>
      <c r="X7" s="59"/>
      <c r="Y7" s="59"/>
      <c r="Z7" s="59"/>
      <c r="AA7" s="105"/>
      <c r="AB7" s="40"/>
      <c r="AC7" s="33"/>
      <c r="AD7" s="42"/>
      <c r="AE7" s="42"/>
      <c r="AF7" s="42"/>
      <c r="AG7" s="42"/>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row>
    <row r="8" spans="1:250" s="136" customFormat="1" ht="24" customHeight="1" thickBot="1">
      <c r="A8" s="134"/>
      <c r="B8" s="137"/>
      <c r="C8" s="138"/>
      <c r="D8" s="138"/>
      <c r="E8" s="138"/>
      <c r="F8" s="138"/>
      <c r="G8" s="138"/>
      <c r="H8" s="139" t="s">
        <v>38</v>
      </c>
      <c r="I8" s="138"/>
      <c r="J8" s="138"/>
      <c r="K8" s="139"/>
      <c r="L8" s="138"/>
      <c r="M8" s="140"/>
      <c r="N8" s="138"/>
      <c r="O8" s="138"/>
      <c r="P8" s="141"/>
      <c r="Q8" s="387" t="s">
        <v>100</v>
      </c>
      <c r="R8" s="388"/>
      <c r="S8" s="388"/>
      <c r="T8" s="388"/>
      <c r="U8" s="388"/>
      <c r="V8" s="135"/>
      <c r="W8" s="142"/>
      <c r="X8" s="143" t="s">
        <v>65</v>
      </c>
      <c r="Y8" s="142"/>
      <c r="Z8" s="142"/>
      <c r="AA8" s="143"/>
      <c r="AB8" s="144"/>
      <c r="AC8" s="134"/>
      <c r="AD8" s="145"/>
      <c r="AE8" s="146" t="s">
        <v>66</v>
      </c>
      <c r="AF8" s="146"/>
      <c r="AG8" s="146"/>
      <c r="AH8" s="147"/>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row>
    <row r="9" spans="1:250" s="136" customFormat="1" ht="21" customHeight="1" thickBot="1">
      <c r="A9" s="134"/>
      <c r="B9" s="389" t="s">
        <v>73</v>
      </c>
      <c r="C9" s="390"/>
      <c r="D9" s="390"/>
      <c r="E9" s="390"/>
      <c r="F9" s="390"/>
      <c r="G9" s="389" t="s">
        <v>76</v>
      </c>
      <c r="H9" s="391"/>
      <c r="I9" s="389" t="s">
        <v>74</v>
      </c>
      <c r="J9" s="390"/>
      <c r="K9" s="392"/>
      <c r="L9" s="390"/>
      <c r="M9" s="390"/>
      <c r="N9" s="389" t="s">
        <v>75</v>
      </c>
      <c r="O9" s="390"/>
      <c r="P9" s="393"/>
      <c r="Q9" s="394" t="s">
        <v>116</v>
      </c>
      <c r="R9" s="394" t="s">
        <v>117</v>
      </c>
      <c r="S9" s="394" t="s">
        <v>118</v>
      </c>
      <c r="T9" s="394" t="s">
        <v>119</v>
      </c>
      <c r="U9" s="394" t="s">
        <v>120</v>
      </c>
      <c r="V9" s="135"/>
      <c r="W9" s="376" t="str">
        <f>Q9</f>
        <v>Fringe</v>
      </c>
      <c r="X9" s="376" t="str">
        <f>R9</f>
        <v>Urban East</v>
      </c>
      <c r="Y9" s="376" t="str">
        <f>S9</f>
        <v>Urban North</v>
      </c>
      <c r="Z9" s="376" t="str">
        <f>T9</f>
        <v>Urban South</v>
      </c>
      <c r="AA9" s="378" t="str">
        <f>U9</f>
        <v>Urban West</v>
      </c>
      <c r="AB9" s="380" t="s">
        <v>44</v>
      </c>
      <c r="AC9" s="134"/>
      <c r="AD9" s="372" t="str">
        <f>Q9</f>
        <v>Fringe</v>
      </c>
      <c r="AE9" s="372" t="str">
        <f>R9</f>
        <v>Urban East</v>
      </c>
      <c r="AF9" s="372" t="str">
        <f>S9</f>
        <v>Urban North</v>
      </c>
      <c r="AG9" s="372" t="str">
        <f>T9</f>
        <v>Urban South</v>
      </c>
      <c r="AH9" s="374" t="str">
        <f>U9</f>
        <v>Urban West</v>
      </c>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row>
    <row r="10" spans="1:250" ht="112.5" customHeight="1" thickBot="1">
      <c r="B10" s="156" t="s">
        <v>34</v>
      </c>
      <c r="C10" s="157" t="s">
        <v>72</v>
      </c>
      <c r="D10" s="157" t="s">
        <v>37</v>
      </c>
      <c r="E10" s="158" t="s">
        <v>107</v>
      </c>
      <c r="F10" s="157" t="s">
        <v>35</v>
      </c>
      <c r="G10" s="158" t="s">
        <v>122</v>
      </c>
      <c r="H10" s="159" t="s">
        <v>373</v>
      </c>
      <c r="I10" s="252" t="s">
        <v>375</v>
      </c>
      <c r="J10" s="160" t="s">
        <v>374</v>
      </c>
      <c r="K10" s="161" t="s">
        <v>105</v>
      </c>
      <c r="L10" s="253" t="s">
        <v>376</v>
      </c>
      <c r="M10" s="162" t="s">
        <v>92</v>
      </c>
      <c r="N10" s="157" t="s">
        <v>36</v>
      </c>
      <c r="O10" s="157" t="s">
        <v>45</v>
      </c>
      <c r="P10" s="254" t="s">
        <v>97</v>
      </c>
      <c r="Q10" s="395" t="s">
        <v>116</v>
      </c>
      <c r="R10" s="395" t="s">
        <v>117</v>
      </c>
      <c r="S10" s="395" t="s">
        <v>118</v>
      </c>
      <c r="T10" s="395" t="s">
        <v>119</v>
      </c>
      <c r="U10" s="395" t="s">
        <v>120</v>
      </c>
      <c r="V10" s="39"/>
      <c r="W10" s="377"/>
      <c r="X10" s="377"/>
      <c r="Y10" s="377"/>
      <c r="Z10" s="377"/>
      <c r="AA10" s="379"/>
      <c r="AB10" s="381"/>
      <c r="AD10" s="373"/>
      <c r="AE10" s="373"/>
      <c r="AF10" s="373"/>
      <c r="AG10" s="373"/>
      <c r="AH10" s="375"/>
    </row>
    <row r="11" spans="1:250" ht="17.25" thickBot="1">
      <c r="B11" s="3"/>
      <c r="C11" s="3"/>
      <c r="D11" s="3"/>
      <c r="E11" s="3"/>
      <c r="F11" s="3"/>
      <c r="G11" s="3"/>
      <c r="H11" s="52"/>
      <c r="I11" s="13"/>
      <c r="J11" s="14"/>
      <c r="K11" s="51"/>
      <c r="L11" s="15"/>
      <c r="M11" s="101"/>
      <c r="N11" s="2"/>
      <c r="O11" s="3"/>
      <c r="P11" s="102"/>
      <c r="Q11" s="226">
        <v>1</v>
      </c>
      <c r="R11" s="227">
        <f>Q11+1</f>
        <v>2</v>
      </c>
      <c r="S11" s="227">
        <f t="shared" ref="S11:U11" si="0">R11+1</f>
        <v>3</v>
      </c>
      <c r="T11" s="227">
        <f t="shared" si="0"/>
        <v>4</v>
      </c>
      <c r="U11" s="227">
        <f t="shared" si="0"/>
        <v>5</v>
      </c>
      <c r="V11" s="39"/>
      <c r="W11" s="150"/>
      <c r="X11" s="103"/>
      <c r="Y11" s="103"/>
      <c r="Z11" s="103"/>
      <c r="AA11" s="104"/>
      <c r="AB11" s="153"/>
      <c r="AD11" s="151"/>
      <c r="AE11" s="41"/>
      <c r="AF11" s="151"/>
      <c r="AG11" s="151"/>
      <c r="AH11" s="152"/>
    </row>
    <row r="12" spans="1:250" s="279" customFormat="1" ht="85.9" customHeight="1" thickBot="1">
      <c r="A12" s="267"/>
      <c r="B12" s="268" t="s">
        <v>78</v>
      </c>
      <c r="C12" s="269"/>
      <c r="D12" s="269" t="s">
        <v>121</v>
      </c>
      <c r="E12" s="269"/>
      <c r="F12" s="269"/>
      <c r="G12" s="270"/>
      <c r="H12" s="271"/>
      <c r="I12" s="270"/>
      <c r="J12" s="269" t="s">
        <v>99</v>
      </c>
      <c r="K12" s="272"/>
      <c r="L12" s="273"/>
      <c r="M12" s="274"/>
      <c r="N12" s="270"/>
      <c r="O12" s="269"/>
      <c r="P12" s="275"/>
      <c r="Q12" s="280">
        <f t="shared" ref="Q12:U12" si="1">IFERROR(VLOOKUP(Q9,Parkscatch,6,FALSE),"")</f>
        <v>21245</v>
      </c>
      <c r="R12" s="281">
        <f t="shared" si="1"/>
        <v>331019</v>
      </c>
      <c r="S12" s="281">
        <f t="shared" si="1"/>
        <v>508114</v>
      </c>
      <c r="T12" s="281">
        <f t="shared" si="1"/>
        <v>486037</v>
      </c>
      <c r="U12" s="282">
        <f t="shared" si="1"/>
        <v>287882</v>
      </c>
      <c r="V12" s="276"/>
      <c r="W12" s="277"/>
      <c r="X12" s="277"/>
      <c r="Y12" s="277"/>
      <c r="Z12" s="277"/>
      <c r="AA12" s="277"/>
      <c r="AB12" s="278"/>
      <c r="AC12" s="267"/>
      <c r="AD12" s="283">
        <f>SUM(AD13:AD92)</f>
        <v>0</v>
      </c>
      <c r="AE12" s="283">
        <f>SUM(AE13:AE92)</f>
        <v>73946878.701298699</v>
      </c>
      <c r="AF12" s="283">
        <f>SUM(AF13:AF92)</f>
        <v>509010309.09162354</v>
      </c>
      <c r="AG12" s="283">
        <f>SUM(AG13:AG92)</f>
        <v>93917782.282226384</v>
      </c>
      <c r="AH12" s="284">
        <f>SUM(AH13:AH92)</f>
        <v>34607871.502978802</v>
      </c>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row>
    <row r="13" spans="1:250">
      <c r="B13" s="229" t="s">
        <v>144</v>
      </c>
      <c r="C13" s="230" t="s">
        <v>165</v>
      </c>
      <c r="D13" s="163" t="s">
        <v>104</v>
      </c>
      <c r="E13" s="163" t="s">
        <v>119</v>
      </c>
      <c r="F13" s="163" t="s">
        <v>247</v>
      </c>
      <c r="G13" s="231">
        <v>56000</v>
      </c>
      <c r="H13" s="232">
        <v>800</v>
      </c>
      <c r="I13" s="233">
        <v>45</v>
      </c>
      <c r="J13" s="234">
        <f>Table156[[#This Row],[Construction Unit Rate ($/m)]]*Table156[[#This Row],[Area size (m2)]]+Table156[[#This Row],[Utility allowance ($56,000/site)]]</f>
        <v>92000</v>
      </c>
      <c r="K13" s="232">
        <v>800</v>
      </c>
      <c r="L13" s="235">
        <v>2046.7532467532469</v>
      </c>
      <c r="M13" s="236">
        <f>Table156[[#This Row],[Land Unit Rate ($/m2)]]*Table156[[#This Row],[Size of land (m2) (*)]]</f>
        <v>1637402.5974025975</v>
      </c>
      <c r="N13" s="237">
        <v>2021</v>
      </c>
      <c r="O13" s="238">
        <f>IFERROR(('General Input Sheet'!$G$38/(VLOOKUP(N13,'General Input Sheet'!$E$38:$G$48,3,FALSE))),1)</f>
        <v>1</v>
      </c>
      <c r="P13" s="239">
        <f>J13+M13*Table156[[#This Row],[Escalation]]</f>
        <v>1729402.5974025975</v>
      </c>
      <c r="Q13" s="240" t="str">
        <f>IF(Q$9=$E13,"y","")</f>
        <v/>
      </c>
      <c r="R13" s="240" t="str">
        <f t="shared" ref="R13:U28" si="2">IF(R$9=$E13,"y","")</f>
        <v/>
      </c>
      <c r="S13" s="240" t="str">
        <f t="shared" si="2"/>
        <v/>
      </c>
      <c r="T13" s="240" t="str">
        <f t="shared" si="2"/>
        <v>y</v>
      </c>
      <c r="U13" s="241" t="str">
        <f t="shared" si="2"/>
        <v/>
      </c>
      <c r="V13" s="115"/>
      <c r="W13" s="201" t="str">
        <f>IF(Q13="y",100%,"")</f>
        <v/>
      </c>
      <c r="X13" s="202" t="str">
        <f t="shared" ref="X13:AA13" si="3">IF(R13="y",100%,"")</f>
        <v/>
      </c>
      <c r="Y13" s="202" t="str">
        <f t="shared" si="3"/>
        <v/>
      </c>
      <c r="Z13" s="202">
        <f t="shared" si="3"/>
        <v>1</v>
      </c>
      <c r="AA13" s="202" t="str">
        <f t="shared" si="3"/>
        <v/>
      </c>
      <c r="AB13" s="60">
        <f t="shared" ref="AB13" si="4">SUM(W13:AA13)</f>
        <v>1</v>
      </c>
      <c r="AD13" s="285" t="str">
        <f t="shared" ref="AD13:AH13" si="5">IF(W13="","",(W13/$AB13)*$P13)</f>
        <v/>
      </c>
      <c r="AE13" s="286" t="str">
        <f t="shared" si="5"/>
        <v/>
      </c>
      <c r="AF13" s="286" t="str">
        <f t="shared" si="5"/>
        <v/>
      </c>
      <c r="AG13" s="286">
        <f t="shared" si="5"/>
        <v>1729402.5974025975</v>
      </c>
      <c r="AH13" s="287" t="str">
        <f t="shared" si="5"/>
        <v/>
      </c>
    </row>
    <row r="14" spans="1:250">
      <c r="B14" s="219" t="s">
        <v>144</v>
      </c>
      <c r="C14" s="166" t="s">
        <v>166</v>
      </c>
      <c r="D14" s="166" t="s">
        <v>104</v>
      </c>
      <c r="E14" s="166" t="s">
        <v>119</v>
      </c>
      <c r="F14" s="166" t="s">
        <v>248</v>
      </c>
      <c r="G14" s="164">
        <v>56000</v>
      </c>
      <c r="H14" s="167">
        <v>800</v>
      </c>
      <c r="I14" s="165">
        <v>45</v>
      </c>
      <c r="J14" s="168">
        <f>Table156[[#This Row],[Construction Unit Rate ($/m)]]*Table156[[#This Row],[Area size (m2)]]+Table156[[#This Row],[Utility allowance ($56,000/site)]]</f>
        <v>92000</v>
      </c>
      <c r="K14" s="167">
        <v>800</v>
      </c>
      <c r="L14" s="169">
        <v>2046.7532467532469</v>
      </c>
      <c r="M14" s="170">
        <f>Table156[[#This Row],[Land Unit Rate ($/m2)]]*Table156[[#This Row],[Size of land (m2) (*)]]</f>
        <v>1637402.5974025975</v>
      </c>
      <c r="N14" s="117">
        <v>2021</v>
      </c>
      <c r="O14" s="199">
        <f>IFERROR(('General Input Sheet'!$G$38/(VLOOKUP(N14,'General Input Sheet'!$E$38:$G$48,3,FALSE))),1)</f>
        <v>1</v>
      </c>
      <c r="P14" s="65">
        <f t="shared" ref="P14:P76" si="6">J14+M14</f>
        <v>1729402.5974025975</v>
      </c>
      <c r="Q14" s="57" t="str">
        <f t="shared" ref="Q14:U45" si="7">IF(Q$9=$E14,"y","")</f>
        <v/>
      </c>
      <c r="R14" s="57" t="str">
        <f t="shared" si="2"/>
        <v/>
      </c>
      <c r="S14" s="57" t="str">
        <f t="shared" si="2"/>
        <v/>
      </c>
      <c r="T14" s="57" t="str">
        <f t="shared" si="2"/>
        <v>y</v>
      </c>
      <c r="U14" s="100" t="str">
        <f t="shared" si="2"/>
        <v/>
      </c>
      <c r="V14" s="115"/>
      <c r="W14" s="201" t="str">
        <f t="shared" ref="W14:W77" si="8">IF(Q14="y",100%,"")</f>
        <v/>
      </c>
      <c r="X14" s="202" t="str">
        <f t="shared" ref="X14:X77" si="9">IF(R14="y",100%,"")</f>
        <v/>
      </c>
      <c r="Y14" s="202" t="str">
        <f t="shared" ref="Y14:Y77" si="10">IF(S14="y",100%,"")</f>
        <v/>
      </c>
      <c r="Z14" s="202">
        <f t="shared" ref="Z14:Z77" si="11">IF(T14="y",100%,"")</f>
        <v>1</v>
      </c>
      <c r="AA14" s="202" t="str">
        <f t="shared" ref="AA14:AA77" si="12">IF(U14="y",100%,"")</f>
        <v/>
      </c>
      <c r="AB14" s="61">
        <f t="shared" ref="AB14:AB77" si="13">SUM(W14:AA14)</f>
        <v>1</v>
      </c>
      <c r="AD14" s="285" t="str">
        <f t="shared" ref="AD14:AD77" si="14">IF(W14="","",(W14/$AB14)*$P14)</f>
        <v/>
      </c>
      <c r="AE14" s="286" t="str">
        <f t="shared" ref="AE14:AE77" si="15">IF(X14="","",(X14/$AB14)*$P14)</f>
        <v/>
      </c>
      <c r="AF14" s="286" t="str">
        <f t="shared" ref="AF14:AF77" si="16">IF(Y14="","",(Y14/$AB14)*$P14)</f>
        <v/>
      </c>
      <c r="AG14" s="286">
        <f t="shared" ref="AG14:AG77" si="17">IF(Z14="","",(Z14/$AB14)*$P14)</f>
        <v>1729402.5974025975</v>
      </c>
      <c r="AH14" s="288" t="str">
        <f t="shared" ref="AH14:AH77" si="18">IF(AA14="","",(AA14/$AB14)*$P14)</f>
        <v/>
      </c>
    </row>
    <row r="15" spans="1:250">
      <c r="B15" s="219" t="s">
        <v>324</v>
      </c>
      <c r="C15" s="166" t="s">
        <v>167</v>
      </c>
      <c r="D15" s="166" t="s">
        <v>104</v>
      </c>
      <c r="E15" s="166" t="s">
        <v>118</v>
      </c>
      <c r="F15" s="166" t="s">
        <v>249</v>
      </c>
      <c r="G15" s="164">
        <v>56000</v>
      </c>
      <c r="H15" s="167">
        <v>1300</v>
      </c>
      <c r="I15" s="165">
        <v>45</v>
      </c>
      <c r="J15" s="168">
        <f>Table156[[#This Row],[Construction Unit Rate ($/m)]]*Table156[[#This Row],[Area size (m2)]]+Table156[[#This Row],[Utility allowance ($56,000/site)]]</f>
        <v>114500</v>
      </c>
      <c r="K15" s="167">
        <v>1300</v>
      </c>
      <c r="L15" s="169">
        <v>2046.7532467532469</v>
      </c>
      <c r="M15" s="170">
        <f>Table156[[#This Row],[Land Unit Rate ($/m2)]]*Table156[[#This Row],[Size of land (m2) (*)]]</f>
        <v>2660779.220779221</v>
      </c>
      <c r="N15" s="117">
        <v>2021</v>
      </c>
      <c r="O15" s="117">
        <f>IFERROR(('General Input Sheet'!$G$38/(VLOOKUP(N15,'General Input Sheet'!$E$38:$G$48,3,FALSE))),1)</f>
        <v>1</v>
      </c>
      <c r="P15" s="65">
        <f t="shared" si="6"/>
        <v>2775279.220779221</v>
      </c>
      <c r="Q15" s="57" t="str">
        <f t="shared" si="7"/>
        <v/>
      </c>
      <c r="R15" s="57" t="str">
        <f t="shared" si="2"/>
        <v/>
      </c>
      <c r="S15" s="57" t="str">
        <f t="shared" si="2"/>
        <v>y</v>
      </c>
      <c r="T15" s="57" t="str">
        <f t="shared" si="2"/>
        <v/>
      </c>
      <c r="U15" s="100" t="str">
        <f t="shared" si="2"/>
        <v/>
      </c>
      <c r="V15" s="115"/>
      <c r="W15" s="201" t="str">
        <f t="shared" si="8"/>
        <v/>
      </c>
      <c r="X15" s="202" t="str">
        <f t="shared" si="9"/>
        <v/>
      </c>
      <c r="Y15" s="202">
        <f t="shared" si="10"/>
        <v>1</v>
      </c>
      <c r="Z15" s="202" t="str">
        <f t="shared" si="11"/>
        <v/>
      </c>
      <c r="AA15" s="202" t="str">
        <f t="shared" si="12"/>
        <v/>
      </c>
      <c r="AB15" s="61">
        <f t="shared" si="13"/>
        <v>1</v>
      </c>
      <c r="AD15" s="285" t="str">
        <f t="shared" si="14"/>
        <v/>
      </c>
      <c r="AE15" s="286" t="str">
        <f t="shared" si="15"/>
        <v/>
      </c>
      <c r="AF15" s="286">
        <f t="shared" si="16"/>
        <v>2775279.220779221</v>
      </c>
      <c r="AG15" s="286" t="str">
        <f t="shared" si="17"/>
        <v/>
      </c>
      <c r="AH15" s="288" t="str">
        <f t="shared" si="18"/>
        <v/>
      </c>
    </row>
    <row r="16" spans="1:250">
      <c r="B16" s="219" t="s">
        <v>324</v>
      </c>
      <c r="C16" s="166" t="s">
        <v>168</v>
      </c>
      <c r="D16" s="166" t="s">
        <v>104</v>
      </c>
      <c r="E16" s="166" t="s">
        <v>118</v>
      </c>
      <c r="F16" s="166" t="s">
        <v>250</v>
      </c>
      <c r="G16" s="164">
        <v>56000</v>
      </c>
      <c r="H16" s="167">
        <v>3400</v>
      </c>
      <c r="I16" s="165">
        <v>45</v>
      </c>
      <c r="J16" s="168">
        <f>Table156[[#This Row],[Construction Unit Rate ($/m)]]*Table156[[#This Row],[Area size (m2)]]+Table156[[#This Row],[Utility allowance ($56,000/site)]]</f>
        <v>209000</v>
      </c>
      <c r="K16" s="167">
        <v>3400</v>
      </c>
      <c r="L16" s="169">
        <v>1228.0519480519481</v>
      </c>
      <c r="M16" s="170">
        <f>Table156[[#This Row],[Land Unit Rate ($/m2)]]*Table156[[#This Row],[Size of land (m2) (*)]]</f>
        <v>4175376.6233766237</v>
      </c>
      <c r="N16" s="117">
        <v>2021</v>
      </c>
      <c r="O16" s="117">
        <f>IFERROR(('General Input Sheet'!$G$38/(VLOOKUP(N16,'General Input Sheet'!$E$38:$G$48,3,FALSE))),1)</f>
        <v>1</v>
      </c>
      <c r="P16" s="65">
        <f t="shared" si="6"/>
        <v>4384376.6233766237</v>
      </c>
      <c r="Q16" s="57" t="str">
        <f t="shared" si="7"/>
        <v/>
      </c>
      <c r="R16" s="57" t="str">
        <f t="shared" si="2"/>
        <v/>
      </c>
      <c r="S16" s="57" t="str">
        <f t="shared" si="2"/>
        <v>y</v>
      </c>
      <c r="T16" s="57" t="str">
        <f t="shared" si="2"/>
        <v/>
      </c>
      <c r="U16" s="100" t="str">
        <f t="shared" si="2"/>
        <v/>
      </c>
      <c r="V16" s="115"/>
      <c r="W16" s="201" t="str">
        <f t="shared" si="8"/>
        <v/>
      </c>
      <c r="X16" s="202" t="str">
        <f t="shared" si="9"/>
        <v/>
      </c>
      <c r="Y16" s="202">
        <f t="shared" si="10"/>
        <v>1</v>
      </c>
      <c r="Z16" s="202" t="str">
        <f t="shared" si="11"/>
        <v/>
      </c>
      <c r="AA16" s="202" t="str">
        <f t="shared" si="12"/>
        <v/>
      </c>
      <c r="AB16" s="61">
        <f t="shared" si="13"/>
        <v>1</v>
      </c>
      <c r="AD16" s="285" t="str">
        <f t="shared" si="14"/>
        <v/>
      </c>
      <c r="AE16" s="286" t="str">
        <f t="shared" si="15"/>
        <v/>
      </c>
      <c r="AF16" s="286">
        <f t="shared" si="16"/>
        <v>4384376.6233766237</v>
      </c>
      <c r="AG16" s="286" t="str">
        <f t="shared" si="17"/>
        <v/>
      </c>
      <c r="AH16" s="288" t="str">
        <f t="shared" si="18"/>
        <v/>
      </c>
    </row>
    <row r="17" spans="2:34">
      <c r="B17" s="219" t="s">
        <v>325</v>
      </c>
      <c r="C17" s="166" t="s">
        <v>169</v>
      </c>
      <c r="D17" s="166" t="s">
        <v>103</v>
      </c>
      <c r="E17" s="166" t="s">
        <v>118</v>
      </c>
      <c r="F17" s="166" t="s">
        <v>251</v>
      </c>
      <c r="G17" s="164">
        <v>56000</v>
      </c>
      <c r="H17" s="167">
        <v>900</v>
      </c>
      <c r="I17" s="165">
        <v>45</v>
      </c>
      <c r="J17" s="168">
        <f>Table156[[#This Row],[Construction Unit Rate ($/m)]]*Table156[[#This Row],[Area size (m2)]]+Table156[[#This Row],[Utility allowance ($56,000/site)]]</f>
        <v>96500</v>
      </c>
      <c r="K17" s="167">
        <v>900</v>
      </c>
      <c r="L17" s="169">
        <v>1228.0519480519481</v>
      </c>
      <c r="M17" s="170">
        <f>Table156[[#This Row],[Land Unit Rate ($/m2)]]*Table156[[#This Row],[Size of land (m2) (*)]]</f>
        <v>1105246.7532467532</v>
      </c>
      <c r="N17" s="117">
        <v>2021</v>
      </c>
      <c r="O17" s="117">
        <f>IFERROR(('General Input Sheet'!$G$38/(VLOOKUP(N17,'General Input Sheet'!$E$38:$G$48,3,FALSE))),1)</f>
        <v>1</v>
      </c>
      <c r="P17" s="65">
        <f t="shared" si="6"/>
        <v>1201746.7532467532</v>
      </c>
      <c r="Q17" s="57" t="str">
        <f t="shared" si="7"/>
        <v/>
      </c>
      <c r="R17" s="57" t="str">
        <f t="shared" si="2"/>
        <v/>
      </c>
      <c r="S17" s="57" t="str">
        <f t="shared" si="2"/>
        <v>y</v>
      </c>
      <c r="T17" s="57" t="str">
        <f t="shared" si="2"/>
        <v/>
      </c>
      <c r="U17" s="100" t="str">
        <f t="shared" si="2"/>
        <v/>
      </c>
      <c r="V17" s="115"/>
      <c r="W17" s="201" t="str">
        <f t="shared" si="8"/>
        <v/>
      </c>
      <c r="X17" s="202" t="str">
        <f t="shared" si="9"/>
        <v/>
      </c>
      <c r="Y17" s="202">
        <f t="shared" si="10"/>
        <v>1</v>
      </c>
      <c r="Z17" s="202" t="str">
        <f t="shared" si="11"/>
        <v/>
      </c>
      <c r="AA17" s="202" t="str">
        <f t="shared" si="12"/>
        <v/>
      </c>
      <c r="AB17" s="61">
        <f t="shared" si="13"/>
        <v>1</v>
      </c>
      <c r="AD17" s="285" t="str">
        <f t="shared" si="14"/>
        <v/>
      </c>
      <c r="AE17" s="286" t="str">
        <f t="shared" si="15"/>
        <v/>
      </c>
      <c r="AF17" s="286">
        <f t="shared" si="16"/>
        <v>1201746.7532467532</v>
      </c>
      <c r="AG17" s="286" t="str">
        <f t="shared" si="17"/>
        <v/>
      </c>
      <c r="AH17" s="288" t="str">
        <f t="shared" si="18"/>
        <v/>
      </c>
    </row>
    <row r="18" spans="2:34">
      <c r="B18" s="219" t="s">
        <v>325</v>
      </c>
      <c r="C18" s="166" t="s">
        <v>170</v>
      </c>
      <c r="D18" s="166" t="s">
        <v>104</v>
      </c>
      <c r="E18" s="166" t="s">
        <v>118</v>
      </c>
      <c r="F18" s="166" t="s">
        <v>252</v>
      </c>
      <c r="G18" s="164">
        <v>56000</v>
      </c>
      <c r="H18" s="167">
        <v>300</v>
      </c>
      <c r="I18" s="165">
        <v>45</v>
      </c>
      <c r="J18" s="168">
        <f>Table156[[#This Row],[Construction Unit Rate ($/m)]]*Table156[[#This Row],[Area size (m2)]]+Table156[[#This Row],[Utility allowance ($56,000/site)]]</f>
        <v>69500</v>
      </c>
      <c r="K18" s="167">
        <v>300</v>
      </c>
      <c r="L18" s="169">
        <v>1023.3766233766235</v>
      </c>
      <c r="M18" s="170">
        <f>Table156[[#This Row],[Land Unit Rate ($/m2)]]*Table156[[#This Row],[Size of land (m2) (*)]]</f>
        <v>307012.98701298703</v>
      </c>
      <c r="N18" s="117">
        <v>2021</v>
      </c>
      <c r="O18" s="117">
        <f>IFERROR(('General Input Sheet'!$G$38/(VLOOKUP(N18,'General Input Sheet'!$E$38:$G$48,3,FALSE))),1)</f>
        <v>1</v>
      </c>
      <c r="P18" s="65">
        <f t="shared" si="6"/>
        <v>376512.98701298703</v>
      </c>
      <c r="Q18" s="57" t="str">
        <f t="shared" si="7"/>
        <v/>
      </c>
      <c r="R18" s="57" t="str">
        <f t="shared" si="2"/>
        <v/>
      </c>
      <c r="S18" s="57" t="str">
        <f t="shared" si="2"/>
        <v>y</v>
      </c>
      <c r="T18" s="57" t="str">
        <f t="shared" si="2"/>
        <v/>
      </c>
      <c r="U18" s="100" t="str">
        <f t="shared" si="2"/>
        <v/>
      </c>
      <c r="V18" s="115"/>
      <c r="W18" s="201" t="str">
        <f t="shared" si="8"/>
        <v/>
      </c>
      <c r="X18" s="202" t="str">
        <f t="shared" si="9"/>
        <v/>
      </c>
      <c r="Y18" s="202">
        <f t="shared" si="10"/>
        <v>1</v>
      </c>
      <c r="Z18" s="202" t="str">
        <f t="shared" si="11"/>
        <v/>
      </c>
      <c r="AA18" s="202" t="str">
        <f t="shared" si="12"/>
        <v/>
      </c>
      <c r="AB18" s="61">
        <f t="shared" si="13"/>
        <v>1</v>
      </c>
      <c r="AD18" s="285" t="str">
        <f t="shared" si="14"/>
        <v/>
      </c>
      <c r="AE18" s="286" t="str">
        <f t="shared" si="15"/>
        <v/>
      </c>
      <c r="AF18" s="286">
        <f t="shared" si="16"/>
        <v>376512.98701298703</v>
      </c>
      <c r="AG18" s="286" t="str">
        <f t="shared" si="17"/>
        <v/>
      </c>
      <c r="AH18" s="288" t="str">
        <f t="shared" si="18"/>
        <v/>
      </c>
    </row>
    <row r="19" spans="2:34">
      <c r="B19" s="219" t="s">
        <v>326</v>
      </c>
      <c r="C19" s="166" t="s">
        <v>171</v>
      </c>
      <c r="D19" s="166" t="s">
        <v>104</v>
      </c>
      <c r="E19" s="166" t="s">
        <v>120</v>
      </c>
      <c r="F19" s="166" t="s">
        <v>253</v>
      </c>
      <c r="G19" s="164">
        <v>56000</v>
      </c>
      <c r="H19" s="167">
        <v>2067</v>
      </c>
      <c r="I19" s="165">
        <v>45</v>
      </c>
      <c r="J19" s="168">
        <f>Table156[[#This Row],[Construction Unit Rate ($/m)]]*Table156[[#This Row],[Area size (m2)]]+Table156[[#This Row],[Utility allowance ($56,000/site)]]</f>
        <v>149015</v>
      </c>
      <c r="K19" s="167">
        <v>2067</v>
      </c>
      <c r="L19" s="169">
        <v>1228.0519480519481</v>
      </c>
      <c r="M19" s="170">
        <f>Table156[[#This Row],[Land Unit Rate ($/m2)]]*Table156[[#This Row],[Size of land (m2) (*)]]</f>
        <v>2538383.3766233767</v>
      </c>
      <c r="N19" s="117">
        <v>2021</v>
      </c>
      <c r="O19" s="117">
        <f>IFERROR(('General Input Sheet'!$G$38/(VLOOKUP(N19,'General Input Sheet'!$E$38:$G$48,3,FALSE))),1)</f>
        <v>1</v>
      </c>
      <c r="P19" s="65">
        <f t="shared" si="6"/>
        <v>2687398.3766233767</v>
      </c>
      <c r="Q19" s="57" t="str">
        <f t="shared" si="7"/>
        <v/>
      </c>
      <c r="R19" s="57" t="str">
        <f t="shared" si="2"/>
        <v/>
      </c>
      <c r="S19" s="57" t="str">
        <f t="shared" si="2"/>
        <v/>
      </c>
      <c r="T19" s="57" t="str">
        <f t="shared" si="2"/>
        <v/>
      </c>
      <c r="U19" s="100" t="str">
        <f t="shared" si="2"/>
        <v>y</v>
      </c>
      <c r="V19" s="115"/>
      <c r="W19" s="201" t="str">
        <f t="shared" si="8"/>
        <v/>
      </c>
      <c r="X19" s="202" t="str">
        <f t="shared" si="9"/>
        <v/>
      </c>
      <c r="Y19" s="202" t="str">
        <f t="shared" si="10"/>
        <v/>
      </c>
      <c r="Z19" s="202" t="str">
        <f t="shared" si="11"/>
        <v/>
      </c>
      <c r="AA19" s="202">
        <f t="shared" si="12"/>
        <v>1</v>
      </c>
      <c r="AB19" s="61">
        <f t="shared" si="13"/>
        <v>1</v>
      </c>
      <c r="AD19" s="285" t="str">
        <f t="shared" si="14"/>
        <v/>
      </c>
      <c r="AE19" s="286" t="str">
        <f t="shared" si="15"/>
        <v/>
      </c>
      <c r="AF19" s="286" t="str">
        <f t="shared" si="16"/>
        <v/>
      </c>
      <c r="AG19" s="286" t="str">
        <f t="shared" si="17"/>
        <v/>
      </c>
      <c r="AH19" s="288">
        <f t="shared" si="18"/>
        <v>2687398.3766233767</v>
      </c>
    </row>
    <row r="20" spans="2:34">
      <c r="B20" s="219" t="s">
        <v>327</v>
      </c>
      <c r="C20" s="166" t="s">
        <v>172</v>
      </c>
      <c r="D20" s="166" t="s">
        <v>103</v>
      </c>
      <c r="E20" s="166" t="s">
        <v>120</v>
      </c>
      <c r="F20" s="166" t="s">
        <v>254</v>
      </c>
      <c r="G20" s="164">
        <v>56000</v>
      </c>
      <c r="H20" s="167">
        <v>1500</v>
      </c>
      <c r="I20" s="165">
        <v>45</v>
      </c>
      <c r="J20" s="168">
        <f>Table156[[#This Row],[Construction Unit Rate ($/m)]]*Table156[[#This Row],[Area size (m2)]]+Table156[[#This Row],[Utility allowance ($56,000/site)]]</f>
        <v>123500</v>
      </c>
      <c r="K20" s="167">
        <v>1500</v>
      </c>
      <c r="L20" s="169">
        <v>1228.0519480519481</v>
      </c>
      <c r="M20" s="170">
        <f>Table156[[#This Row],[Land Unit Rate ($/m2)]]*Table156[[#This Row],[Size of land (m2) (*)]]</f>
        <v>1842077.9220779222</v>
      </c>
      <c r="N20" s="117">
        <v>2021</v>
      </c>
      <c r="O20" s="117">
        <f>IFERROR(('General Input Sheet'!$G$38/(VLOOKUP(N20,'General Input Sheet'!$E$38:$G$48,3,FALSE))),1)</f>
        <v>1</v>
      </c>
      <c r="P20" s="65">
        <f t="shared" si="6"/>
        <v>1965577.9220779222</v>
      </c>
      <c r="Q20" s="57" t="str">
        <f t="shared" si="7"/>
        <v/>
      </c>
      <c r="R20" s="57" t="str">
        <f t="shared" si="2"/>
        <v/>
      </c>
      <c r="S20" s="57" t="str">
        <f t="shared" si="2"/>
        <v/>
      </c>
      <c r="T20" s="57" t="str">
        <f t="shared" si="2"/>
        <v/>
      </c>
      <c r="U20" s="100" t="str">
        <f t="shared" si="2"/>
        <v>y</v>
      </c>
      <c r="V20" s="115"/>
      <c r="W20" s="201" t="str">
        <f t="shared" si="8"/>
        <v/>
      </c>
      <c r="X20" s="202" t="str">
        <f t="shared" si="9"/>
        <v/>
      </c>
      <c r="Y20" s="202" t="str">
        <f t="shared" si="10"/>
        <v/>
      </c>
      <c r="Z20" s="202" t="str">
        <f t="shared" si="11"/>
        <v/>
      </c>
      <c r="AA20" s="202">
        <f t="shared" si="12"/>
        <v>1</v>
      </c>
      <c r="AB20" s="61">
        <f t="shared" si="13"/>
        <v>1</v>
      </c>
      <c r="AD20" s="285" t="str">
        <f t="shared" si="14"/>
        <v/>
      </c>
      <c r="AE20" s="286" t="str">
        <f t="shared" si="15"/>
        <v/>
      </c>
      <c r="AF20" s="286" t="str">
        <f t="shared" si="16"/>
        <v/>
      </c>
      <c r="AG20" s="286" t="str">
        <f t="shared" si="17"/>
        <v/>
      </c>
      <c r="AH20" s="288">
        <f t="shared" si="18"/>
        <v>1965577.9220779222</v>
      </c>
    </row>
    <row r="21" spans="2:34">
      <c r="B21" s="219" t="s">
        <v>156</v>
      </c>
      <c r="C21" s="166" t="s">
        <v>173</v>
      </c>
      <c r="D21" s="166" t="s">
        <v>104</v>
      </c>
      <c r="E21" s="166" t="s">
        <v>117</v>
      </c>
      <c r="F21" s="166" t="s">
        <v>255</v>
      </c>
      <c r="G21" s="164">
        <v>56000</v>
      </c>
      <c r="H21" s="167">
        <v>900</v>
      </c>
      <c r="I21" s="165">
        <v>45</v>
      </c>
      <c r="J21" s="168">
        <f>Table156[[#This Row],[Construction Unit Rate ($/m)]]*Table156[[#This Row],[Area size (m2)]]+Table156[[#This Row],[Utility allowance ($56,000/site)]]</f>
        <v>96500</v>
      </c>
      <c r="K21" s="167">
        <v>900</v>
      </c>
      <c r="L21" s="169">
        <v>1023.3766233766235</v>
      </c>
      <c r="M21" s="170">
        <f>Table156[[#This Row],[Land Unit Rate ($/m2)]]*Table156[[#This Row],[Size of land (m2) (*)]]</f>
        <v>921038.96103896108</v>
      </c>
      <c r="N21" s="117">
        <v>2021</v>
      </c>
      <c r="O21" s="117">
        <f>IFERROR(('General Input Sheet'!$G$38/(VLOOKUP(N21,'General Input Sheet'!$E$38:$G$48,3,FALSE))),1)</f>
        <v>1</v>
      </c>
      <c r="P21" s="65">
        <f t="shared" si="6"/>
        <v>1017538.9610389611</v>
      </c>
      <c r="Q21" s="57" t="str">
        <f t="shared" si="7"/>
        <v/>
      </c>
      <c r="R21" s="57" t="str">
        <f t="shared" si="2"/>
        <v>y</v>
      </c>
      <c r="S21" s="57" t="str">
        <f t="shared" si="2"/>
        <v/>
      </c>
      <c r="T21" s="57" t="str">
        <f t="shared" si="2"/>
        <v/>
      </c>
      <c r="U21" s="100" t="str">
        <f t="shared" si="2"/>
        <v/>
      </c>
      <c r="V21" s="115"/>
      <c r="W21" s="201" t="str">
        <f t="shared" si="8"/>
        <v/>
      </c>
      <c r="X21" s="202">
        <f t="shared" si="9"/>
        <v>1</v>
      </c>
      <c r="Y21" s="202" t="str">
        <f t="shared" si="10"/>
        <v/>
      </c>
      <c r="Z21" s="202" t="str">
        <f t="shared" si="11"/>
        <v/>
      </c>
      <c r="AA21" s="202" t="str">
        <f t="shared" si="12"/>
        <v/>
      </c>
      <c r="AB21" s="61">
        <f t="shared" si="13"/>
        <v>1</v>
      </c>
      <c r="AD21" s="285" t="str">
        <f t="shared" si="14"/>
        <v/>
      </c>
      <c r="AE21" s="286">
        <f t="shared" si="15"/>
        <v>1017538.9610389611</v>
      </c>
      <c r="AF21" s="286" t="str">
        <f t="shared" si="16"/>
        <v/>
      </c>
      <c r="AG21" s="286" t="str">
        <f t="shared" si="17"/>
        <v/>
      </c>
      <c r="AH21" s="288" t="str">
        <f t="shared" si="18"/>
        <v/>
      </c>
    </row>
    <row r="22" spans="2:34">
      <c r="B22" s="219" t="s">
        <v>148</v>
      </c>
      <c r="C22" s="166" t="s">
        <v>174</v>
      </c>
      <c r="D22" s="166" t="s">
        <v>104</v>
      </c>
      <c r="E22" s="166" t="s">
        <v>119</v>
      </c>
      <c r="F22" s="166" t="s">
        <v>256</v>
      </c>
      <c r="G22" s="164">
        <v>56000</v>
      </c>
      <c r="H22" s="167">
        <v>500</v>
      </c>
      <c r="I22" s="165">
        <v>45</v>
      </c>
      <c r="J22" s="168">
        <f>Table156[[#This Row],[Construction Unit Rate ($/m)]]*Table156[[#This Row],[Area size (m2)]]+Table156[[#This Row],[Utility allowance ($56,000/site)]]</f>
        <v>78500</v>
      </c>
      <c r="K22" s="167">
        <v>500</v>
      </c>
      <c r="L22" s="169">
        <v>1023.3766233766235</v>
      </c>
      <c r="M22" s="170">
        <f>Table156[[#This Row],[Land Unit Rate ($/m2)]]*Table156[[#This Row],[Size of land (m2) (*)]]</f>
        <v>511688.31168831175</v>
      </c>
      <c r="N22" s="117">
        <v>2021</v>
      </c>
      <c r="O22" s="117">
        <f>IFERROR(('General Input Sheet'!$G$38/(VLOOKUP(N22,'General Input Sheet'!$E$38:$G$48,3,FALSE))),1)</f>
        <v>1</v>
      </c>
      <c r="P22" s="65">
        <f t="shared" si="6"/>
        <v>590188.31168831175</v>
      </c>
      <c r="Q22" s="57" t="str">
        <f t="shared" si="7"/>
        <v/>
      </c>
      <c r="R22" s="57" t="str">
        <f t="shared" si="2"/>
        <v/>
      </c>
      <c r="S22" s="57" t="str">
        <f t="shared" si="2"/>
        <v/>
      </c>
      <c r="T22" s="57" t="str">
        <f t="shared" si="2"/>
        <v>y</v>
      </c>
      <c r="U22" s="100" t="str">
        <f t="shared" si="2"/>
        <v/>
      </c>
      <c r="V22" s="115"/>
      <c r="W22" s="201" t="str">
        <f t="shared" si="8"/>
        <v/>
      </c>
      <c r="X22" s="202" t="str">
        <f t="shared" si="9"/>
        <v/>
      </c>
      <c r="Y22" s="202" t="str">
        <f t="shared" si="10"/>
        <v/>
      </c>
      <c r="Z22" s="202">
        <f t="shared" si="11"/>
        <v>1</v>
      </c>
      <c r="AA22" s="202" t="str">
        <f t="shared" si="12"/>
        <v/>
      </c>
      <c r="AB22" s="61">
        <f t="shared" si="13"/>
        <v>1</v>
      </c>
      <c r="AD22" s="285" t="str">
        <f t="shared" si="14"/>
        <v/>
      </c>
      <c r="AE22" s="286" t="str">
        <f t="shared" si="15"/>
        <v/>
      </c>
      <c r="AF22" s="286" t="str">
        <f t="shared" si="16"/>
        <v/>
      </c>
      <c r="AG22" s="286">
        <f t="shared" si="17"/>
        <v>590188.31168831175</v>
      </c>
      <c r="AH22" s="288" t="str">
        <f t="shared" si="18"/>
        <v/>
      </c>
    </row>
    <row r="23" spans="2:34">
      <c r="B23" s="219" t="s">
        <v>328</v>
      </c>
      <c r="C23" s="166" t="s">
        <v>175</v>
      </c>
      <c r="D23" s="166" t="s">
        <v>104</v>
      </c>
      <c r="E23" s="166" t="s">
        <v>117</v>
      </c>
      <c r="F23" s="166" t="s">
        <v>257</v>
      </c>
      <c r="G23" s="164">
        <v>56000</v>
      </c>
      <c r="H23" s="167">
        <v>2300</v>
      </c>
      <c r="I23" s="165">
        <v>45</v>
      </c>
      <c r="J23" s="168">
        <f>Table156[[#This Row],[Construction Unit Rate ($/m)]]*Table156[[#This Row],[Area size (m2)]]+Table156[[#This Row],[Utility allowance ($56,000/site)]]</f>
        <v>159500</v>
      </c>
      <c r="K23" s="167">
        <v>2300</v>
      </c>
      <c r="L23" s="169">
        <v>1228.0519480519481</v>
      </c>
      <c r="M23" s="170">
        <f>Table156[[#This Row],[Land Unit Rate ($/m2)]]*Table156[[#This Row],[Size of land (m2) (*)]]</f>
        <v>2824519.4805194805</v>
      </c>
      <c r="N23" s="117">
        <v>2021</v>
      </c>
      <c r="O23" s="117">
        <f>IFERROR(('General Input Sheet'!$G$38/(VLOOKUP(N23,'General Input Sheet'!$E$38:$G$48,3,FALSE))),1)</f>
        <v>1</v>
      </c>
      <c r="P23" s="65">
        <f t="shared" si="6"/>
        <v>2984019.4805194805</v>
      </c>
      <c r="Q23" s="57" t="str">
        <f t="shared" si="7"/>
        <v/>
      </c>
      <c r="R23" s="57" t="str">
        <f t="shared" si="2"/>
        <v>y</v>
      </c>
      <c r="S23" s="57" t="str">
        <f t="shared" si="2"/>
        <v/>
      </c>
      <c r="T23" s="57" t="str">
        <f t="shared" si="2"/>
        <v/>
      </c>
      <c r="U23" s="100" t="str">
        <f t="shared" si="2"/>
        <v/>
      </c>
      <c r="V23" s="115"/>
      <c r="W23" s="201" t="str">
        <f t="shared" si="8"/>
        <v/>
      </c>
      <c r="X23" s="202">
        <f t="shared" si="9"/>
        <v>1</v>
      </c>
      <c r="Y23" s="202" t="str">
        <f t="shared" si="10"/>
        <v/>
      </c>
      <c r="Z23" s="202" t="str">
        <f t="shared" si="11"/>
        <v/>
      </c>
      <c r="AA23" s="202" t="str">
        <f t="shared" si="12"/>
        <v/>
      </c>
      <c r="AB23" s="61">
        <f t="shared" si="13"/>
        <v>1</v>
      </c>
      <c r="AD23" s="285" t="str">
        <f t="shared" si="14"/>
        <v/>
      </c>
      <c r="AE23" s="286">
        <f t="shared" si="15"/>
        <v>2984019.4805194805</v>
      </c>
      <c r="AF23" s="286" t="str">
        <f t="shared" si="16"/>
        <v/>
      </c>
      <c r="AG23" s="286" t="str">
        <f t="shared" si="17"/>
        <v/>
      </c>
      <c r="AH23" s="288" t="str">
        <f t="shared" si="18"/>
        <v/>
      </c>
    </row>
    <row r="24" spans="2:34">
      <c r="B24" s="219" t="s">
        <v>328</v>
      </c>
      <c r="C24" s="166" t="s">
        <v>176</v>
      </c>
      <c r="D24" s="166" t="s">
        <v>104</v>
      </c>
      <c r="E24" s="166" t="s">
        <v>117</v>
      </c>
      <c r="F24" s="166" t="s">
        <v>258</v>
      </c>
      <c r="G24" s="164">
        <v>56000</v>
      </c>
      <c r="H24" s="167">
        <v>4600</v>
      </c>
      <c r="I24" s="165">
        <v>45</v>
      </c>
      <c r="J24" s="168">
        <f>Table156[[#This Row],[Construction Unit Rate ($/m)]]*Table156[[#This Row],[Area size (m2)]]+Table156[[#This Row],[Utility allowance ($56,000/site)]]</f>
        <v>263000</v>
      </c>
      <c r="K24" s="167">
        <v>4600</v>
      </c>
      <c r="L24" s="169">
        <v>1535.0649350649353</v>
      </c>
      <c r="M24" s="170">
        <f>Table156[[#This Row],[Land Unit Rate ($/m2)]]*Table156[[#This Row],[Size of land (m2) (*)]]</f>
        <v>7061298.7012987025</v>
      </c>
      <c r="N24" s="117">
        <v>2021</v>
      </c>
      <c r="O24" s="117">
        <f>IFERROR(('General Input Sheet'!$G$38/(VLOOKUP(N24,'General Input Sheet'!$E$38:$G$48,3,FALSE))),1)</f>
        <v>1</v>
      </c>
      <c r="P24" s="65">
        <f t="shared" si="6"/>
        <v>7324298.7012987025</v>
      </c>
      <c r="Q24" s="57" t="str">
        <f t="shared" si="7"/>
        <v/>
      </c>
      <c r="R24" s="57" t="str">
        <f t="shared" si="2"/>
        <v>y</v>
      </c>
      <c r="S24" s="57" t="str">
        <f t="shared" si="2"/>
        <v/>
      </c>
      <c r="T24" s="57" t="str">
        <f t="shared" si="2"/>
        <v/>
      </c>
      <c r="U24" s="100" t="str">
        <f t="shared" si="2"/>
        <v/>
      </c>
      <c r="V24" s="115"/>
      <c r="W24" s="201" t="str">
        <f t="shared" si="8"/>
        <v/>
      </c>
      <c r="X24" s="202">
        <f t="shared" si="9"/>
        <v>1</v>
      </c>
      <c r="Y24" s="202" t="str">
        <f t="shared" si="10"/>
        <v/>
      </c>
      <c r="Z24" s="202" t="str">
        <f t="shared" si="11"/>
        <v/>
      </c>
      <c r="AA24" s="202" t="str">
        <f t="shared" si="12"/>
        <v/>
      </c>
      <c r="AB24" s="61">
        <f t="shared" si="13"/>
        <v>1</v>
      </c>
      <c r="AD24" s="285" t="str">
        <f t="shared" si="14"/>
        <v/>
      </c>
      <c r="AE24" s="286">
        <f t="shared" si="15"/>
        <v>7324298.7012987025</v>
      </c>
      <c r="AF24" s="286" t="str">
        <f t="shared" si="16"/>
        <v/>
      </c>
      <c r="AG24" s="286" t="str">
        <f t="shared" si="17"/>
        <v/>
      </c>
      <c r="AH24" s="288" t="str">
        <f t="shared" si="18"/>
        <v/>
      </c>
    </row>
    <row r="25" spans="2:34">
      <c r="B25" s="219" t="s">
        <v>158</v>
      </c>
      <c r="C25" s="166" t="s">
        <v>177</v>
      </c>
      <c r="D25" s="166" t="s">
        <v>103</v>
      </c>
      <c r="E25" s="166" t="s">
        <v>119</v>
      </c>
      <c r="F25" s="166" t="s">
        <v>259</v>
      </c>
      <c r="G25" s="164">
        <v>56000</v>
      </c>
      <c r="H25" s="167">
        <v>2000</v>
      </c>
      <c r="I25" s="165">
        <v>45</v>
      </c>
      <c r="J25" s="168">
        <f>Table156[[#This Row],[Construction Unit Rate ($/m)]]*Table156[[#This Row],[Area size (m2)]]+Table156[[#This Row],[Utility allowance ($56,000/site)]]</f>
        <v>146000</v>
      </c>
      <c r="K25" s="167">
        <v>2000</v>
      </c>
      <c r="L25" s="169">
        <v>1194.6030623073427</v>
      </c>
      <c r="M25" s="170">
        <f>Table156[[#This Row],[Land Unit Rate ($/m2)]]*Table156[[#This Row],[Size of land (m2) (*)]]</f>
        <v>2389206.1246146853</v>
      </c>
      <c r="N25" s="117">
        <v>2021</v>
      </c>
      <c r="O25" s="117">
        <f>IFERROR(('General Input Sheet'!$G$38/(VLOOKUP(N25,'General Input Sheet'!$E$38:$G$48,3,FALSE))),1)</f>
        <v>1</v>
      </c>
      <c r="P25" s="65">
        <f t="shared" si="6"/>
        <v>2535206.1246146853</v>
      </c>
      <c r="Q25" s="57" t="str">
        <f t="shared" si="7"/>
        <v/>
      </c>
      <c r="R25" s="57" t="str">
        <f t="shared" si="2"/>
        <v/>
      </c>
      <c r="S25" s="57" t="str">
        <f t="shared" si="2"/>
        <v/>
      </c>
      <c r="T25" s="57" t="str">
        <f t="shared" si="2"/>
        <v>y</v>
      </c>
      <c r="U25" s="100" t="str">
        <f t="shared" si="2"/>
        <v/>
      </c>
      <c r="V25" s="115"/>
      <c r="W25" s="201" t="str">
        <f t="shared" si="8"/>
        <v/>
      </c>
      <c r="X25" s="202" t="str">
        <f t="shared" si="9"/>
        <v/>
      </c>
      <c r="Y25" s="202" t="str">
        <f t="shared" si="10"/>
        <v/>
      </c>
      <c r="Z25" s="202">
        <f t="shared" si="11"/>
        <v>1</v>
      </c>
      <c r="AA25" s="202" t="str">
        <f t="shared" si="12"/>
        <v/>
      </c>
      <c r="AB25" s="61">
        <f t="shared" si="13"/>
        <v>1</v>
      </c>
      <c r="AD25" s="285" t="str">
        <f t="shared" si="14"/>
        <v/>
      </c>
      <c r="AE25" s="286" t="str">
        <f t="shared" si="15"/>
        <v/>
      </c>
      <c r="AF25" s="286" t="str">
        <f t="shared" si="16"/>
        <v/>
      </c>
      <c r="AG25" s="286">
        <f t="shared" si="17"/>
        <v>2535206.1246146853</v>
      </c>
      <c r="AH25" s="288" t="str">
        <f t="shared" si="18"/>
        <v/>
      </c>
    </row>
    <row r="26" spans="2:34">
      <c r="B26" s="219" t="s">
        <v>158</v>
      </c>
      <c r="C26" s="166" t="s">
        <v>178</v>
      </c>
      <c r="D26" s="166" t="s">
        <v>104</v>
      </c>
      <c r="E26" s="166" t="s">
        <v>119</v>
      </c>
      <c r="F26" s="166" t="s">
        <v>260</v>
      </c>
      <c r="G26" s="164">
        <v>56000</v>
      </c>
      <c r="H26" s="167">
        <v>600</v>
      </c>
      <c r="I26" s="165">
        <v>45</v>
      </c>
      <c r="J26" s="168">
        <f>Table156[[#This Row],[Construction Unit Rate ($/m)]]*Table156[[#This Row],[Area size (m2)]]+Table156[[#This Row],[Utility allowance ($56,000/site)]]</f>
        <v>83000</v>
      </c>
      <c r="K26" s="167">
        <v>600</v>
      </c>
      <c r="L26" s="169">
        <v>1194.6030623073427</v>
      </c>
      <c r="M26" s="170">
        <f>Table156[[#This Row],[Land Unit Rate ($/m2)]]*Table156[[#This Row],[Size of land (m2) (*)]]</f>
        <v>716761.83738440566</v>
      </c>
      <c r="N26" s="117">
        <v>2021</v>
      </c>
      <c r="O26" s="117">
        <f>IFERROR(('General Input Sheet'!$G$38/(VLOOKUP(N26,'General Input Sheet'!$E$38:$G$48,3,FALSE))),1)</f>
        <v>1</v>
      </c>
      <c r="P26" s="65">
        <f t="shared" si="6"/>
        <v>799761.83738440566</v>
      </c>
      <c r="Q26" s="57" t="str">
        <f t="shared" si="7"/>
        <v/>
      </c>
      <c r="R26" s="57" t="str">
        <f t="shared" si="2"/>
        <v/>
      </c>
      <c r="S26" s="57" t="str">
        <f t="shared" si="2"/>
        <v/>
      </c>
      <c r="T26" s="57" t="str">
        <f t="shared" si="2"/>
        <v>y</v>
      </c>
      <c r="U26" s="100" t="str">
        <f t="shared" si="2"/>
        <v/>
      </c>
      <c r="V26" s="115"/>
      <c r="W26" s="201" t="str">
        <f t="shared" si="8"/>
        <v/>
      </c>
      <c r="X26" s="202" t="str">
        <f t="shared" si="9"/>
        <v/>
      </c>
      <c r="Y26" s="202" t="str">
        <f t="shared" si="10"/>
        <v/>
      </c>
      <c r="Z26" s="202">
        <f t="shared" si="11"/>
        <v>1</v>
      </c>
      <c r="AA26" s="202" t="str">
        <f t="shared" si="12"/>
        <v/>
      </c>
      <c r="AB26" s="61">
        <f t="shared" si="13"/>
        <v>1</v>
      </c>
      <c r="AD26" s="285" t="str">
        <f t="shared" si="14"/>
        <v/>
      </c>
      <c r="AE26" s="286" t="str">
        <f t="shared" si="15"/>
        <v/>
      </c>
      <c r="AF26" s="286" t="str">
        <f t="shared" si="16"/>
        <v/>
      </c>
      <c r="AG26" s="286">
        <f t="shared" si="17"/>
        <v>799761.83738440566</v>
      </c>
      <c r="AH26" s="288" t="str">
        <f t="shared" si="18"/>
        <v/>
      </c>
    </row>
    <row r="27" spans="2:34">
      <c r="B27" s="219" t="s">
        <v>329</v>
      </c>
      <c r="C27" s="166" t="s">
        <v>179</v>
      </c>
      <c r="D27" s="166" t="s">
        <v>104</v>
      </c>
      <c r="E27" s="166" t="s">
        <v>119</v>
      </c>
      <c r="F27" s="166" t="s">
        <v>261</v>
      </c>
      <c r="G27" s="164">
        <v>56000</v>
      </c>
      <c r="H27" s="167">
        <v>12666</v>
      </c>
      <c r="I27" s="165">
        <v>45</v>
      </c>
      <c r="J27" s="168">
        <f>Table156[[#This Row],[Construction Unit Rate ($/m)]]*Table156[[#This Row],[Area size (m2)]]+Table156[[#This Row],[Utility allowance ($56,000/site)]]</f>
        <v>625970</v>
      </c>
      <c r="K27" s="167">
        <v>12666</v>
      </c>
      <c r="L27" s="169">
        <v>1279.2207792207794</v>
      </c>
      <c r="M27" s="170">
        <f>Table156[[#This Row],[Land Unit Rate ($/m2)]]*Table156[[#This Row],[Size of land (m2) (*)]]</f>
        <v>16202610.389610391</v>
      </c>
      <c r="N27" s="117">
        <v>2021</v>
      </c>
      <c r="O27" s="117">
        <f>IFERROR(('General Input Sheet'!$G$38/(VLOOKUP(N27,'General Input Sheet'!$E$38:$G$48,3,FALSE))),1)</f>
        <v>1</v>
      </c>
      <c r="P27" s="65">
        <f t="shared" si="6"/>
        <v>16828580.389610391</v>
      </c>
      <c r="Q27" s="57" t="str">
        <f t="shared" si="7"/>
        <v/>
      </c>
      <c r="R27" s="57" t="str">
        <f t="shared" si="2"/>
        <v/>
      </c>
      <c r="S27" s="57" t="str">
        <f t="shared" si="2"/>
        <v/>
      </c>
      <c r="T27" s="57" t="str">
        <f t="shared" si="2"/>
        <v>y</v>
      </c>
      <c r="U27" s="100" t="str">
        <f t="shared" si="2"/>
        <v/>
      </c>
      <c r="V27" s="115"/>
      <c r="W27" s="201" t="str">
        <f t="shared" si="8"/>
        <v/>
      </c>
      <c r="X27" s="202" t="str">
        <f t="shared" si="9"/>
        <v/>
      </c>
      <c r="Y27" s="202" t="str">
        <f t="shared" si="10"/>
        <v/>
      </c>
      <c r="Z27" s="202">
        <f t="shared" si="11"/>
        <v>1</v>
      </c>
      <c r="AA27" s="202" t="str">
        <f t="shared" si="12"/>
        <v/>
      </c>
      <c r="AB27" s="61">
        <f t="shared" si="13"/>
        <v>1</v>
      </c>
      <c r="AD27" s="285" t="str">
        <f t="shared" si="14"/>
        <v/>
      </c>
      <c r="AE27" s="286" t="str">
        <f t="shared" si="15"/>
        <v/>
      </c>
      <c r="AF27" s="286" t="str">
        <f t="shared" si="16"/>
        <v/>
      </c>
      <c r="AG27" s="286">
        <f t="shared" si="17"/>
        <v>16828580.389610391</v>
      </c>
      <c r="AH27" s="288" t="str">
        <f t="shared" si="18"/>
        <v/>
      </c>
    </row>
    <row r="28" spans="2:34">
      <c r="B28" s="219" t="s">
        <v>330</v>
      </c>
      <c r="C28" s="166" t="s">
        <v>180</v>
      </c>
      <c r="D28" s="166" t="s">
        <v>104</v>
      </c>
      <c r="E28" s="166" t="s">
        <v>118</v>
      </c>
      <c r="F28" s="166" t="s">
        <v>262</v>
      </c>
      <c r="G28" s="164">
        <v>56000</v>
      </c>
      <c r="H28" s="167">
        <v>500</v>
      </c>
      <c r="I28" s="165">
        <v>45</v>
      </c>
      <c r="J28" s="168">
        <f>Table156[[#This Row],[Construction Unit Rate ($/m)]]*Table156[[#This Row],[Area size (m2)]]+Table156[[#This Row],[Utility allowance ($56,000/site)]]</f>
        <v>78500</v>
      </c>
      <c r="K28" s="167">
        <v>500</v>
      </c>
      <c r="L28" s="169">
        <v>2558.4415584415588</v>
      </c>
      <c r="M28" s="170">
        <f>Table156[[#This Row],[Land Unit Rate ($/m2)]]*Table156[[#This Row],[Size of land (m2) (*)]]</f>
        <v>1279220.7792207794</v>
      </c>
      <c r="N28" s="117">
        <v>2021</v>
      </c>
      <c r="O28" s="117">
        <f>IFERROR(('General Input Sheet'!$G$38/(VLOOKUP(N28,'General Input Sheet'!$E$38:$G$48,3,FALSE))),1)</f>
        <v>1</v>
      </c>
      <c r="P28" s="65">
        <f t="shared" si="6"/>
        <v>1357720.7792207794</v>
      </c>
      <c r="Q28" s="57" t="str">
        <f t="shared" si="7"/>
        <v/>
      </c>
      <c r="R28" s="57" t="str">
        <f t="shared" si="2"/>
        <v/>
      </c>
      <c r="S28" s="57" t="str">
        <f t="shared" si="2"/>
        <v>y</v>
      </c>
      <c r="T28" s="57" t="str">
        <f t="shared" si="2"/>
        <v/>
      </c>
      <c r="U28" s="100" t="str">
        <f t="shared" si="2"/>
        <v/>
      </c>
      <c r="V28" s="115"/>
      <c r="W28" s="201" t="str">
        <f t="shared" si="8"/>
        <v/>
      </c>
      <c r="X28" s="202" t="str">
        <f t="shared" si="9"/>
        <v/>
      </c>
      <c r="Y28" s="202">
        <f t="shared" si="10"/>
        <v>1</v>
      </c>
      <c r="Z28" s="202" t="str">
        <f t="shared" si="11"/>
        <v/>
      </c>
      <c r="AA28" s="202" t="str">
        <f t="shared" si="12"/>
        <v/>
      </c>
      <c r="AB28" s="61">
        <f t="shared" si="13"/>
        <v>1</v>
      </c>
      <c r="AD28" s="285" t="str">
        <f t="shared" si="14"/>
        <v/>
      </c>
      <c r="AE28" s="286" t="str">
        <f t="shared" si="15"/>
        <v/>
      </c>
      <c r="AF28" s="286">
        <f t="shared" si="16"/>
        <v>1357720.7792207794</v>
      </c>
      <c r="AG28" s="286" t="str">
        <f t="shared" si="17"/>
        <v/>
      </c>
      <c r="AH28" s="288" t="str">
        <f t="shared" si="18"/>
        <v/>
      </c>
    </row>
    <row r="29" spans="2:34">
      <c r="B29" s="219" t="s">
        <v>331</v>
      </c>
      <c r="C29" s="166" t="s">
        <v>181</v>
      </c>
      <c r="D29" s="166" t="s">
        <v>104</v>
      </c>
      <c r="E29" s="166" t="s">
        <v>119</v>
      </c>
      <c r="F29" s="166" t="s">
        <v>263</v>
      </c>
      <c r="G29" s="164">
        <v>56000</v>
      </c>
      <c r="H29" s="167">
        <v>1600</v>
      </c>
      <c r="I29" s="165">
        <v>45</v>
      </c>
      <c r="J29" s="168">
        <f>Table156[[#This Row],[Construction Unit Rate ($/m)]]*Table156[[#This Row],[Area size (m2)]]+Table156[[#This Row],[Utility allowance ($56,000/site)]]</f>
        <v>128000</v>
      </c>
      <c r="K29" s="167">
        <v>1600</v>
      </c>
      <c r="L29" s="169">
        <v>2558.4415584415588</v>
      </c>
      <c r="M29" s="170">
        <f>Table156[[#This Row],[Land Unit Rate ($/m2)]]*Table156[[#This Row],[Size of land (m2) (*)]]</f>
        <v>4093506.493506494</v>
      </c>
      <c r="N29" s="117">
        <v>2021</v>
      </c>
      <c r="O29" s="117">
        <f>IFERROR(('General Input Sheet'!$G$38/(VLOOKUP(N29,'General Input Sheet'!$E$38:$G$48,3,FALSE))),1)</f>
        <v>1</v>
      </c>
      <c r="P29" s="65">
        <f t="shared" si="6"/>
        <v>4221506.493506494</v>
      </c>
      <c r="Q29" s="57" t="str">
        <f t="shared" si="7"/>
        <v/>
      </c>
      <c r="R29" s="57" t="str">
        <f t="shared" si="7"/>
        <v/>
      </c>
      <c r="S29" s="57" t="str">
        <f t="shared" si="7"/>
        <v/>
      </c>
      <c r="T29" s="57" t="str">
        <f t="shared" si="7"/>
        <v>y</v>
      </c>
      <c r="U29" s="100" t="str">
        <f t="shared" si="7"/>
        <v/>
      </c>
      <c r="V29" s="115"/>
      <c r="W29" s="201" t="str">
        <f t="shared" si="8"/>
        <v/>
      </c>
      <c r="X29" s="202" t="str">
        <f t="shared" si="9"/>
        <v/>
      </c>
      <c r="Y29" s="202" t="str">
        <f t="shared" si="10"/>
        <v/>
      </c>
      <c r="Z29" s="202">
        <f t="shared" si="11"/>
        <v>1</v>
      </c>
      <c r="AA29" s="202" t="str">
        <f t="shared" si="12"/>
        <v/>
      </c>
      <c r="AB29" s="61">
        <f t="shared" si="13"/>
        <v>1</v>
      </c>
      <c r="AD29" s="285" t="str">
        <f t="shared" si="14"/>
        <v/>
      </c>
      <c r="AE29" s="286" t="str">
        <f t="shared" si="15"/>
        <v/>
      </c>
      <c r="AF29" s="286" t="str">
        <f t="shared" si="16"/>
        <v/>
      </c>
      <c r="AG29" s="286">
        <f t="shared" si="17"/>
        <v>4221506.493506494</v>
      </c>
      <c r="AH29" s="288" t="str">
        <f t="shared" si="18"/>
        <v/>
      </c>
    </row>
    <row r="30" spans="2:34">
      <c r="B30" s="219" t="s">
        <v>332</v>
      </c>
      <c r="C30" s="166" t="s">
        <v>182</v>
      </c>
      <c r="D30" s="166" t="s">
        <v>104</v>
      </c>
      <c r="E30" s="166" t="s">
        <v>120</v>
      </c>
      <c r="F30" s="166" t="s">
        <v>264</v>
      </c>
      <c r="G30" s="164">
        <v>56000</v>
      </c>
      <c r="H30" s="167">
        <v>5094</v>
      </c>
      <c r="I30" s="165">
        <v>45</v>
      </c>
      <c r="J30" s="168">
        <f>Table156[[#This Row],[Construction Unit Rate ($/m)]]*Table156[[#This Row],[Area size (m2)]]+Table156[[#This Row],[Utility allowance ($56,000/site)]]</f>
        <v>285230</v>
      </c>
      <c r="K30" s="167">
        <v>5094</v>
      </c>
      <c r="L30" s="169">
        <v>2558.4415584415588</v>
      </c>
      <c r="M30" s="170">
        <f>Table156[[#This Row],[Land Unit Rate ($/m2)]]*Table156[[#This Row],[Size of land (m2) (*)]]</f>
        <v>13032701.298701301</v>
      </c>
      <c r="N30" s="117">
        <v>2021</v>
      </c>
      <c r="O30" s="117">
        <f>IFERROR(('General Input Sheet'!$G$38/(VLOOKUP(N30,'General Input Sheet'!$E$38:$G$48,3,FALSE))),1)</f>
        <v>1</v>
      </c>
      <c r="P30" s="65">
        <f t="shared" si="6"/>
        <v>13317931.298701301</v>
      </c>
      <c r="Q30" s="57" t="str">
        <f t="shared" si="7"/>
        <v/>
      </c>
      <c r="R30" s="57" t="str">
        <f t="shared" si="7"/>
        <v/>
      </c>
      <c r="S30" s="57" t="str">
        <f t="shared" si="7"/>
        <v/>
      </c>
      <c r="T30" s="57" t="str">
        <f t="shared" si="7"/>
        <v/>
      </c>
      <c r="U30" s="100" t="str">
        <f t="shared" si="7"/>
        <v>y</v>
      </c>
      <c r="V30" s="115"/>
      <c r="W30" s="201" t="str">
        <f t="shared" si="8"/>
        <v/>
      </c>
      <c r="X30" s="202" t="str">
        <f t="shared" si="9"/>
        <v/>
      </c>
      <c r="Y30" s="202" t="str">
        <f t="shared" si="10"/>
        <v/>
      </c>
      <c r="Z30" s="202" t="str">
        <f t="shared" si="11"/>
        <v/>
      </c>
      <c r="AA30" s="202">
        <f t="shared" si="12"/>
        <v>1</v>
      </c>
      <c r="AB30" s="61">
        <f t="shared" si="13"/>
        <v>1</v>
      </c>
      <c r="AD30" s="285" t="str">
        <f t="shared" si="14"/>
        <v/>
      </c>
      <c r="AE30" s="286" t="str">
        <f t="shared" si="15"/>
        <v/>
      </c>
      <c r="AF30" s="286" t="str">
        <f t="shared" si="16"/>
        <v/>
      </c>
      <c r="AG30" s="286" t="str">
        <f t="shared" si="17"/>
        <v/>
      </c>
      <c r="AH30" s="288">
        <f t="shared" si="18"/>
        <v>13317931.298701301</v>
      </c>
    </row>
    <row r="31" spans="2:34">
      <c r="B31" s="219" t="s">
        <v>333</v>
      </c>
      <c r="C31" s="166" t="s">
        <v>183</v>
      </c>
      <c r="D31" s="166" t="s">
        <v>103</v>
      </c>
      <c r="E31" s="166" t="s">
        <v>118</v>
      </c>
      <c r="F31" s="166" t="s">
        <v>265</v>
      </c>
      <c r="G31" s="164">
        <v>56000</v>
      </c>
      <c r="H31" s="167">
        <v>600</v>
      </c>
      <c r="I31" s="165">
        <v>45</v>
      </c>
      <c r="J31" s="168">
        <f>Table156[[#This Row],[Construction Unit Rate ($/m)]]*Table156[[#This Row],[Area size (m2)]]+Table156[[#This Row],[Utility allowance ($56,000/site)]]</f>
        <v>83000</v>
      </c>
      <c r="K31" s="167">
        <v>600</v>
      </c>
      <c r="L31" s="169">
        <v>1535.0649350649353</v>
      </c>
      <c r="M31" s="170">
        <f>Table156[[#This Row],[Land Unit Rate ($/m2)]]*Table156[[#This Row],[Size of land (m2) (*)]]</f>
        <v>921038.96103896119</v>
      </c>
      <c r="N31" s="117">
        <v>2021</v>
      </c>
      <c r="O31" s="117">
        <f>IFERROR(('General Input Sheet'!$G$38/(VLOOKUP(N31,'General Input Sheet'!$E$38:$G$48,3,FALSE))),1)</f>
        <v>1</v>
      </c>
      <c r="P31" s="65">
        <f t="shared" si="6"/>
        <v>1004038.9610389612</v>
      </c>
      <c r="Q31" s="57" t="str">
        <f t="shared" si="7"/>
        <v/>
      </c>
      <c r="R31" s="57" t="str">
        <f t="shared" si="7"/>
        <v/>
      </c>
      <c r="S31" s="57" t="str">
        <f t="shared" si="7"/>
        <v>y</v>
      </c>
      <c r="T31" s="57" t="str">
        <f t="shared" si="7"/>
        <v/>
      </c>
      <c r="U31" s="100" t="str">
        <f t="shared" si="7"/>
        <v/>
      </c>
      <c r="V31" s="115"/>
      <c r="W31" s="201" t="str">
        <f t="shared" si="8"/>
        <v/>
      </c>
      <c r="X31" s="202" t="str">
        <f t="shared" si="9"/>
        <v/>
      </c>
      <c r="Y31" s="202">
        <f t="shared" si="10"/>
        <v>1</v>
      </c>
      <c r="Z31" s="202" t="str">
        <f t="shared" si="11"/>
        <v/>
      </c>
      <c r="AA31" s="202" t="str">
        <f t="shared" si="12"/>
        <v/>
      </c>
      <c r="AB31" s="61">
        <f t="shared" si="13"/>
        <v>1</v>
      </c>
      <c r="AD31" s="285" t="str">
        <f t="shared" si="14"/>
        <v/>
      </c>
      <c r="AE31" s="286" t="str">
        <f t="shared" si="15"/>
        <v/>
      </c>
      <c r="AF31" s="286">
        <f t="shared" si="16"/>
        <v>1004038.9610389612</v>
      </c>
      <c r="AG31" s="286" t="str">
        <f t="shared" si="17"/>
        <v/>
      </c>
      <c r="AH31" s="288" t="str">
        <f t="shared" si="18"/>
        <v/>
      </c>
    </row>
    <row r="32" spans="2:34">
      <c r="B32" s="219" t="s">
        <v>334</v>
      </c>
      <c r="C32" s="166" t="s">
        <v>184</v>
      </c>
      <c r="D32" s="166" t="s">
        <v>104</v>
      </c>
      <c r="E32" s="166" t="s">
        <v>119</v>
      </c>
      <c r="F32" s="166" t="s">
        <v>266</v>
      </c>
      <c r="G32" s="164">
        <v>56000</v>
      </c>
      <c r="H32" s="167">
        <v>8100</v>
      </c>
      <c r="I32" s="165">
        <v>45</v>
      </c>
      <c r="J32" s="168">
        <f>Table156[[#This Row],[Construction Unit Rate ($/m)]]*Table156[[#This Row],[Area size (m2)]]+Table156[[#This Row],[Utility allowance ($56,000/site)]]</f>
        <v>420500</v>
      </c>
      <c r="K32" s="167">
        <v>8100</v>
      </c>
      <c r="L32" s="169">
        <v>990.57139644229665</v>
      </c>
      <c r="M32" s="170">
        <f>Table156[[#This Row],[Land Unit Rate ($/m2)]]*Table156[[#This Row],[Size of land (m2) (*)]]</f>
        <v>8023628.3111826032</v>
      </c>
      <c r="N32" s="117">
        <v>2021</v>
      </c>
      <c r="O32" s="117">
        <f>IFERROR(('General Input Sheet'!$G$38/(VLOOKUP(N32,'General Input Sheet'!$E$38:$G$48,3,FALSE))),1)</f>
        <v>1</v>
      </c>
      <c r="P32" s="65">
        <f t="shared" si="6"/>
        <v>8444128.3111826032</v>
      </c>
      <c r="Q32" s="57" t="str">
        <f t="shared" si="7"/>
        <v/>
      </c>
      <c r="R32" s="57" t="str">
        <f t="shared" si="7"/>
        <v/>
      </c>
      <c r="S32" s="57" t="str">
        <f t="shared" si="7"/>
        <v/>
      </c>
      <c r="T32" s="57" t="str">
        <f t="shared" si="7"/>
        <v>y</v>
      </c>
      <c r="U32" s="100" t="str">
        <f t="shared" si="7"/>
        <v/>
      </c>
      <c r="V32" s="115"/>
      <c r="W32" s="201" t="str">
        <f t="shared" si="8"/>
        <v/>
      </c>
      <c r="X32" s="202" t="str">
        <f t="shared" si="9"/>
        <v/>
      </c>
      <c r="Y32" s="202" t="str">
        <f t="shared" si="10"/>
        <v/>
      </c>
      <c r="Z32" s="202">
        <f t="shared" si="11"/>
        <v>1</v>
      </c>
      <c r="AA32" s="202" t="str">
        <f t="shared" si="12"/>
        <v/>
      </c>
      <c r="AB32" s="61">
        <f t="shared" si="13"/>
        <v>1</v>
      </c>
      <c r="AD32" s="285" t="str">
        <f t="shared" si="14"/>
        <v/>
      </c>
      <c r="AE32" s="286" t="str">
        <f t="shared" si="15"/>
        <v/>
      </c>
      <c r="AF32" s="286" t="str">
        <f t="shared" si="16"/>
        <v/>
      </c>
      <c r="AG32" s="286">
        <f t="shared" si="17"/>
        <v>8444128.3111826032</v>
      </c>
      <c r="AH32" s="288" t="str">
        <f t="shared" si="18"/>
        <v/>
      </c>
    </row>
    <row r="33" spans="2:34">
      <c r="B33" s="219" t="s">
        <v>335</v>
      </c>
      <c r="C33" s="166" t="s">
        <v>185</v>
      </c>
      <c r="D33" s="166" t="s">
        <v>104</v>
      </c>
      <c r="E33" s="166" t="s">
        <v>119</v>
      </c>
      <c r="F33" s="166" t="s">
        <v>267</v>
      </c>
      <c r="G33" s="164">
        <v>56000</v>
      </c>
      <c r="H33" s="167">
        <v>200</v>
      </c>
      <c r="I33" s="165">
        <v>45</v>
      </c>
      <c r="J33" s="168">
        <f>Table156[[#This Row],[Construction Unit Rate ($/m)]]*Table156[[#This Row],[Area size (m2)]]+Table156[[#This Row],[Utility allowance ($56,000/site)]]</f>
        <v>65000</v>
      </c>
      <c r="K33" s="167">
        <v>200</v>
      </c>
      <c r="L33" s="169">
        <v>1228.0519480519481</v>
      </c>
      <c r="M33" s="170">
        <f>Table156[[#This Row],[Land Unit Rate ($/m2)]]*Table156[[#This Row],[Size of land (m2) (*)]]</f>
        <v>245610.38961038963</v>
      </c>
      <c r="N33" s="117">
        <v>2021</v>
      </c>
      <c r="O33" s="117">
        <f>IFERROR(('General Input Sheet'!$G$38/(VLOOKUP(N33,'General Input Sheet'!$E$38:$G$48,3,FALSE))),1)</f>
        <v>1</v>
      </c>
      <c r="P33" s="65">
        <f t="shared" si="6"/>
        <v>310610.3896103896</v>
      </c>
      <c r="Q33" s="57" t="str">
        <f t="shared" si="7"/>
        <v/>
      </c>
      <c r="R33" s="57" t="str">
        <f t="shared" si="7"/>
        <v/>
      </c>
      <c r="S33" s="57" t="str">
        <f t="shared" si="7"/>
        <v/>
      </c>
      <c r="T33" s="57" t="str">
        <f t="shared" si="7"/>
        <v>y</v>
      </c>
      <c r="U33" s="100" t="str">
        <f t="shared" si="7"/>
        <v/>
      </c>
      <c r="V33" s="115"/>
      <c r="W33" s="201" t="str">
        <f t="shared" si="8"/>
        <v/>
      </c>
      <c r="X33" s="202" t="str">
        <f t="shared" si="9"/>
        <v/>
      </c>
      <c r="Y33" s="202" t="str">
        <f t="shared" si="10"/>
        <v/>
      </c>
      <c r="Z33" s="202">
        <f t="shared" si="11"/>
        <v>1</v>
      </c>
      <c r="AA33" s="202" t="str">
        <f t="shared" si="12"/>
        <v/>
      </c>
      <c r="AB33" s="61">
        <f t="shared" si="13"/>
        <v>1</v>
      </c>
      <c r="AD33" s="285" t="str">
        <f t="shared" si="14"/>
        <v/>
      </c>
      <c r="AE33" s="286" t="str">
        <f t="shared" si="15"/>
        <v/>
      </c>
      <c r="AF33" s="286" t="str">
        <f t="shared" si="16"/>
        <v/>
      </c>
      <c r="AG33" s="286">
        <f t="shared" si="17"/>
        <v>310610.3896103896</v>
      </c>
      <c r="AH33" s="288" t="str">
        <f t="shared" si="18"/>
        <v/>
      </c>
    </row>
    <row r="34" spans="2:34">
      <c r="B34" s="219" t="s">
        <v>336</v>
      </c>
      <c r="C34" s="166" t="s">
        <v>186</v>
      </c>
      <c r="D34" s="166" t="s">
        <v>103</v>
      </c>
      <c r="E34" s="166" t="s">
        <v>118</v>
      </c>
      <c r="F34" s="166" t="s">
        <v>268</v>
      </c>
      <c r="G34" s="164">
        <v>56000</v>
      </c>
      <c r="H34" s="167">
        <v>1200</v>
      </c>
      <c r="I34" s="165">
        <v>45</v>
      </c>
      <c r="J34" s="168">
        <f>Table156[[#This Row],[Construction Unit Rate ($/m)]]*Table156[[#This Row],[Area size (m2)]]+Table156[[#This Row],[Utility allowance ($56,000/site)]]</f>
        <v>110000</v>
      </c>
      <c r="K34" s="167">
        <v>1200</v>
      </c>
      <c r="L34" s="169">
        <v>2558.4415584415588</v>
      </c>
      <c r="M34" s="170">
        <f>Table156[[#This Row],[Land Unit Rate ($/m2)]]*Table156[[#This Row],[Size of land (m2) (*)]]</f>
        <v>3070129.8701298707</v>
      </c>
      <c r="N34" s="117">
        <v>2021</v>
      </c>
      <c r="O34" s="117">
        <f>IFERROR(('General Input Sheet'!$G$38/(VLOOKUP(N34,'General Input Sheet'!$E$38:$G$48,3,FALSE))),1)</f>
        <v>1</v>
      </c>
      <c r="P34" s="65">
        <f t="shared" si="6"/>
        <v>3180129.8701298707</v>
      </c>
      <c r="Q34" s="57" t="str">
        <f t="shared" si="7"/>
        <v/>
      </c>
      <c r="R34" s="57" t="str">
        <f t="shared" si="7"/>
        <v/>
      </c>
      <c r="S34" s="57" t="str">
        <f t="shared" si="7"/>
        <v>y</v>
      </c>
      <c r="T34" s="57" t="str">
        <f t="shared" si="7"/>
        <v/>
      </c>
      <c r="U34" s="100" t="str">
        <f t="shared" si="7"/>
        <v/>
      </c>
      <c r="V34" s="115"/>
      <c r="W34" s="201" t="str">
        <f t="shared" si="8"/>
        <v/>
      </c>
      <c r="X34" s="202" t="str">
        <f t="shared" si="9"/>
        <v/>
      </c>
      <c r="Y34" s="202">
        <f t="shared" si="10"/>
        <v>1</v>
      </c>
      <c r="Z34" s="202" t="str">
        <f t="shared" si="11"/>
        <v/>
      </c>
      <c r="AA34" s="202" t="str">
        <f t="shared" si="12"/>
        <v/>
      </c>
      <c r="AB34" s="61">
        <f t="shared" si="13"/>
        <v>1</v>
      </c>
      <c r="AD34" s="285" t="str">
        <f t="shared" si="14"/>
        <v/>
      </c>
      <c r="AE34" s="286" t="str">
        <f t="shared" si="15"/>
        <v/>
      </c>
      <c r="AF34" s="286">
        <f t="shared" si="16"/>
        <v>3180129.8701298707</v>
      </c>
      <c r="AG34" s="286" t="str">
        <f t="shared" si="17"/>
        <v/>
      </c>
      <c r="AH34" s="288" t="str">
        <f t="shared" si="18"/>
        <v/>
      </c>
    </row>
    <row r="35" spans="2:34">
      <c r="B35" s="219" t="s">
        <v>337</v>
      </c>
      <c r="C35" s="166" t="s">
        <v>187</v>
      </c>
      <c r="D35" s="166" t="s">
        <v>104</v>
      </c>
      <c r="E35" s="166" t="s">
        <v>119</v>
      </c>
      <c r="F35" s="166" t="s">
        <v>246</v>
      </c>
      <c r="G35" s="164">
        <v>56000</v>
      </c>
      <c r="H35" s="167">
        <v>2000</v>
      </c>
      <c r="I35" s="165">
        <v>45</v>
      </c>
      <c r="J35" s="168">
        <f>Table156[[#This Row],[Construction Unit Rate ($/m)]]*Table156[[#This Row],[Area size (m2)]]+Table156[[#This Row],[Utility allowance ($56,000/site)]]</f>
        <v>146000</v>
      </c>
      <c r="K35" s="167">
        <v>2000</v>
      </c>
      <c r="L35" s="169">
        <v>2558.4415584415588</v>
      </c>
      <c r="M35" s="170">
        <f>Table156[[#This Row],[Land Unit Rate ($/m2)]]*Table156[[#This Row],[Size of land (m2) (*)]]</f>
        <v>5116883.1168831177</v>
      </c>
      <c r="N35" s="117">
        <v>2021</v>
      </c>
      <c r="O35" s="117">
        <f>IFERROR(('General Input Sheet'!$G$38/(VLOOKUP(N35,'General Input Sheet'!$E$38:$G$48,3,FALSE))),1)</f>
        <v>1</v>
      </c>
      <c r="P35" s="65">
        <f t="shared" si="6"/>
        <v>5262883.1168831177</v>
      </c>
      <c r="Q35" s="57" t="str">
        <f t="shared" si="7"/>
        <v/>
      </c>
      <c r="R35" s="57" t="str">
        <f t="shared" si="7"/>
        <v/>
      </c>
      <c r="S35" s="57" t="str">
        <f t="shared" si="7"/>
        <v/>
      </c>
      <c r="T35" s="57" t="str">
        <f t="shared" si="7"/>
        <v>y</v>
      </c>
      <c r="U35" s="100" t="str">
        <f t="shared" si="7"/>
        <v/>
      </c>
      <c r="V35" s="115"/>
      <c r="W35" s="201" t="str">
        <f t="shared" si="8"/>
        <v/>
      </c>
      <c r="X35" s="202" t="str">
        <f t="shared" si="9"/>
        <v/>
      </c>
      <c r="Y35" s="202" t="str">
        <f t="shared" si="10"/>
        <v/>
      </c>
      <c r="Z35" s="202">
        <f t="shared" si="11"/>
        <v>1</v>
      </c>
      <c r="AA35" s="202" t="str">
        <f t="shared" si="12"/>
        <v/>
      </c>
      <c r="AB35" s="61">
        <f t="shared" si="13"/>
        <v>1</v>
      </c>
      <c r="AD35" s="285" t="str">
        <f t="shared" si="14"/>
        <v/>
      </c>
      <c r="AE35" s="286" t="str">
        <f t="shared" si="15"/>
        <v/>
      </c>
      <c r="AF35" s="286" t="str">
        <f t="shared" si="16"/>
        <v/>
      </c>
      <c r="AG35" s="286">
        <f t="shared" si="17"/>
        <v>5262883.1168831177</v>
      </c>
      <c r="AH35" s="288" t="str">
        <f t="shared" si="18"/>
        <v/>
      </c>
    </row>
    <row r="36" spans="2:34">
      <c r="B36" s="219" t="s">
        <v>338</v>
      </c>
      <c r="C36" s="166" t="s">
        <v>188</v>
      </c>
      <c r="D36" s="166" t="s">
        <v>104</v>
      </c>
      <c r="E36" s="166" t="s">
        <v>117</v>
      </c>
      <c r="F36" s="166" t="s">
        <v>269</v>
      </c>
      <c r="G36" s="164">
        <v>56000</v>
      </c>
      <c r="H36" s="167">
        <v>4400</v>
      </c>
      <c r="I36" s="165">
        <v>45</v>
      </c>
      <c r="J36" s="168">
        <f>Table156[[#This Row],[Construction Unit Rate ($/m)]]*Table156[[#This Row],[Area size (m2)]]+Table156[[#This Row],[Utility allowance ($56,000/site)]]</f>
        <v>254000</v>
      </c>
      <c r="K36" s="167">
        <v>4400</v>
      </c>
      <c r="L36" s="169">
        <v>2558.4415584415588</v>
      </c>
      <c r="M36" s="170">
        <f>Table156[[#This Row],[Land Unit Rate ($/m2)]]*Table156[[#This Row],[Size of land (m2) (*)]]</f>
        <v>11257142.857142858</v>
      </c>
      <c r="N36" s="117">
        <v>2021</v>
      </c>
      <c r="O36" s="117">
        <f>IFERROR(('General Input Sheet'!$G$38/(VLOOKUP(N36,'General Input Sheet'!$E$38:$G$48,3,FALSE))),1)</f>
        <v>1</v>
      </c>
      <c r="P36" s="65">
        <f t="shared" si="6"/>
        <v>11511142.857142858</v>
      </c>
      <c r="Q36" s="57" t="str">
        <f t="shared" si="7"/>
        <v/>
      </c>
      <c r="R36" s="57" t="str">
        <f t="shared" si="7"/>
        <v>y</v>
      </c>
      <c r="S36" s="57" t="str">
        <f t="shared" si="7"/>
        <v/>
      </c>
      <c r="T36" s="57" t="str">
        <f t="shared" si="7"/>
        <v/>
      </c>
      <c r="U36" s="100" t="str">
        <f t="shared" si="7"/>
        <v/>
      </c>
      <c r="V36" s="115"/>
      <c r="W36" s="201" t="str">
        <f t="shared" si="8"/>
        <v/>
      </c>
      <c r="X36" s="202">
        <f t="shared" si="9"/>
        <v>1</v>
      </c>
      <c r="Y36" s="202" t="str">
        <f t="shared" si="10"/>
        <v/>
      </c>
      <c r="Z36" s="202" t="str">
        <f t="shared" si="11"/>
        <v/>
      </c>
      <c r="AA36" s="202" t="str">
        <f t="shared" si="12"/>
        <v/>
      </c>
      <c r="AB36" s="61">
        <f t="shared" si="13"/>
        <v>1</v>
      </c>
      <c r="AD36" s="285" t="str">
        <f t="shared" si="14"/>
        <v/>
      </c>
      <c r="AE36" s="286">
        <f t="shared" si="15"/>
        <v>11511142.857142858</v>
      </c>
      <c r="AF36" s="286" t="str">
        <f t="shared" si="16"/>
        <v/>
      </c>
      <c r="AG36" s="286" t="str">
        <f t="shared" si="17"/>
        <v/>
      </c>
      <c r="AH36" s="288" t="str">
        <f t="shared" si="18"/>
        <v/>
      </c>
    </row>
    <row r="37" spans="2:34">
      <c r="B37" s="219" t="s">
        <v>339</v>
      </c>
      <c r="C37" s="166" t="s">
        <v>189</v>
      </c>
      <c r="D37" s="166" t="s">
        <v>104</v>
      </c>
      <c r="E37" s="166" t="s">
        <v>119</v>
      </c>
      <c r="F37" s="166" t="s">
        <v>270</v>
      </c>
      <c r="G37" s="164">
        <v>56000</v>
      </c>
      <c r="H37" s="167">
        <v>5513</v>
      </c>
      <c r="I37" s="165">
        <v>45</v>
      </c>
      <c r="J37" s="168">
        <f>Table156[[#This Row],[Construction Unit Rate ($/m)]]*Table156[[#This Row],[Area size (m2)]]+Table156[[#This Row],[Utility allowance ($56,000/site)]]</f>
        <v>304085</v>
      </c>
      <c r="K37" s="167">
        <v>5513</v>
      </c>
      <c r="L37" s="169">
        <v>1279.2207792207794</v>
      </c>
      <c r="M37" s="170">
        <f>Table156[[#This Row],[Land Unit Rate ($/m2)]]*Table156[[#This Row],[Size of land (m2) (*)]]</f>
        <v>7052344.1558441566</v>
      </c>
      <c r="N37" s="117">
        <v>2021</v>
      </c>
      <c r="O37" s="117">
        <f>IFERROR(('General Input Sheet'!$G$38/(VLOOKUP(N37,'General Input Sheet'!$E$38:$G$48,3,FALSE))),1)</f>
        <v>1</v>
      </c>
      <c r="P37" s="65">
        <f t="shared" si="6"/>
        <v>7356429.1558441566</v>
      </c>
      <c r="Q37" s="57" t="str">
        <f t="shared" si="7"/>
        <v/>
      </c>
      <c r="R37" s="57" t="str">
        <f t="shared" si="7"/>
        <v/>
      </c>
      <c r="S37" s="57" t="str">
        <f t="shared" si="7"/>
        <v/>
      </c>
      <c r="T37" s="57" t="str">
        <f t="shared" si="7"/>
        <v>y</v>
      </c>
      <c r="U37" s="100" t="str">
        <f t="shared" si="7"/>
        <v/>
      </c>
      <c r="V37" s="115"/>
      <c r="W37" s="201" t="str">
        <f t="shared" si="8"/>
        <v/>
      </c>
      <c r="X37" s="202" t="str">
        <f t="shared" si="9"/>
        <v/>
      </c>
      <c r="Y37" s="202" t="str">
        <f t="shared" si="10"/>
        <v/>
      </c>
      <c r="Z37" s="202">
        <f t="shared" si="11"/>
        <v>1</v>
      </c>
      <c r="AA37" s="202" t="str">
        <f t="shared" si="12"/>
        <v/>
      </c>
      <c r="AB37" s="61">
        <f t="shared" si="13"/>
        <v>1</v>
      </c>
      <c r="AD37" s="285" t="str">
        <f t="shared" si="14"/>
        <v/>
      </c>
      <c r="AE37" s="286" t="str">
        <f t="shared" si="15"/>
        <v/>
      </c>
      <c r="AF37" s="286" t="str">
        <f t="shared" si="16"/>
        <v/>
      </c>
      <c r="AG37" s="286">
        <f t="shared" si="17"/>
        <v>7356429.1558441566</v>
      </c>
      <c r="AH37" s="288" t="str">
        <f t="shared" si="18"/>
        <v/>
      </c>
    </row>
    <row r="38" spans="2:34">
      <c r="B38" s="219" t="s">
        <v>340</v>
      </c>
      <c r="C38" s="166" t="s">
        <v>190</v>
      </c>
      <c r="D38" s="166" t="s">
        <v>104</v>
      </c>
      <c r="E38" s="166" t="s">
        <v>117</v>
      </c>
      <c r="F38" s="166" t="s">
        <v>272</v>
      </c>
      <c r="G38" s="164">
        <v>56000</v>
      </c>
      <c r="H38" s="167">
        <v>400</v>
      </c>
      <c r="I38" s="165">
        <v>45</v>
      </c>
      <c r="J38" s="168">
        <f>Table156[[#This Row],[Construction Unit Rate ($/m)]]*Table156[[#This Row],[Area size (m2)]]+Table156[[#This Row],[Utility allowance ($56,000/site)]]</f>
        <v>74000</v>
      </c>
      <c r="K38" s="167">
        <v>400</v>
      </c>
      <c r="L38" s="169">
        <v>2558.4415584415588</v>
      </c>
      <c r="M38" s="170">
        <f>Table156[[#This Row],[Land Unit Rate ($/m2)]]*Table156[[#This Row],[Size of land (m2) (*)]]</f>
        <v>1023376.6233766235</v>
      </c>
      <c r="N38" s="117">
        <v>2021</v>
      </c>
      <c r="O38" s="117">
        <f>IFERROR(('General Input Sheet'!$G$38/(VLOOKUP(N38,'General Input Sheet'!$E$38:$G$48,3,FALSE))),1)</f>
        <v>1</v>
      </c>
      <c r="P38" s="65">
        <f t="shared" si="6"/>
        <v>1097376.6233766235</v>
      </c>
      <c r="Q38" s="57" t="str">
        <f t="shared" si="7"/>
        <v/>
      </c>
      <c r="R38" s="57" t="str">
        <f t="shared" si="7"/>
        <v>y</v>
      </c>
      <c r="S38" s="57" t="str">
        <f t="shared" si="7"/>
        <v/>
      </c>
      <c r="T38" s="57" t="str">
        <f t="shared" si="7"/>
        <v/>
      </c>
      <c r="U38" s="100" t="str">
        <f t="shared" si="7"/>
        <v/>
      </c>
      <c r="V38" s="115"/>
      <c r="W38" s="201" t="str">
        <f t="shared" si="8"/>
        <v/>
      </c>
      <c r="X38" s="202">
        <f t="shared" si="9"/>
        <v>1</v>
      </c>
      <c r="Y38" s="202" t="str">
        <f t="shared" si="10"/>
        <v/>
      </c>
      <c r="Z38" s="202" t="str">
        <f t="shared" si="11"/>
        <v/>
      </c>
      <c r="AA38" s="202" t="str">
        <f t="shared" si="12"/>
        <v/>
      </c>
      <c r="AB38" s="61">
        <f t="shared" si="13"/>
        <v>1</v>
      </c>
      <c r="AD38" s="285" t="str">
        <f t="shared" si="14"/>
        <v/>
      </c>
      <c r="AE38" s="286">
        <f t="shared" si="15"/>
        <v>1097376.6233766235</v>
      </c>
      <c r="AF38" s="286" t="str">
        <f t="shared" si="16"/>
        <v/>
      </c>
      <c r="AG38" s="286" t="str">
        <f t="shared" si="17"/>
        <v/>
      </c>
      <c r="AH38" s="288" t="str">
        <f t="shared" si="18"/>
        <v/>
      </c>
    </row>
    <row r="39" spans="2:34">
      <c r="B39" s="219" t="s">
        <v>333</v>
      </c>
      <c r="C39" s="166" t="s">
        <v>191</v>
      </c>
      <c r="D39" s="166" t="s">
        <v>104</v>
      </c>
      <c r="E39" s="166" t="s">
        <v>118</v>
      </c>
      <c r="F39" s="166" t="s">
        <v>273</v>
      </c>
      <c r="G39" s="164">
        <v>56000</v>
      </c>
      <c r="H39" s="167">
        <v>1000</v>
      </c>
      <c r="I39" s="165">
        <v>45</v>
      </c>
      <c r="J39" s="168">
        <f>Table156[[#This Row],[Construction Unit Rate ($/m)]]*Table156[[#This Row],[Area size (m2)]]+Table156[[#This Row],[Utility allowance ($56,000/site)]]</f>
        <v>101000</v>
      </c>
      <c r="K39" s="167">
        <v>1000</v>
      </c>
      <c r="L39" s="169">
        <v>2558.4415584415588</v>
      </c>
      <c r="M39" s="170">
        <f>Table156[[#This Row],[Land Unit Rate ($/m2)]]*Table156[[#This Row],[Size of land (m2) (*)]]</f>
        <v>2558441.5584415589</v>
      </c>
      <c r="N39" s="117">
        <v>2021</v>
      </c>
      <c r="O39" s="117">
        <f>IFERROR(('General Input Sheet'!$G$38/(VLOOKUP(N39,'General Input Sheet'!$E$38:$G$48,3,FALSE))),1)</f>
        <v>1</v>
      </c>
      <c r="P39" s="200">
        <f t="shared" si="6"/>
        <v>2659441.5584415589</v>
      </c>
      <c r="Q39" s="57" t="str">
        <f t="shared" si="7"/>
        <v/>
      </c>
      <c r="R39" s="57" t="str">
        <f t="shared" si="7"/>
        <v/>
      </c>
      <c r="S39" s="57" t="str">
        <f t="shared" si="7"/>
        <v>y</v>
      </c>
      <c r="T39" s="57" t="str">
        <f t="shared" si="7"/>
        <v/>
      </c>
      <c r="U39" s="100" t="str">
        <f t="shared" si="7"/>
        <v/>
      </c>
      <c r="V39" s="115"/>
      <c r="W39" s="201" t="str">
        <f t="shared" si="8"/>
        <v/>
      </c>
      <c r="X39" s="202" t="str">
        <f t="shared" si="9"/>
        <v/>
      </c>
      <c r="Y39" s="202">
        <f t="shared" si="10"/>
        <v>1</v>
      </c>
      <c r="Z39" s="202" t="str">
        <f t="shared" si="11"/>
        <v/>
      </c>
      <c r="AA39" s="202" t="str">
        <f t="shared" si="12"/>
        <v/>
      </c>
      <c r="AB39" s="61">
        <f t="shared" si="13"/>
        <v>1</v>
      </c>
      <c r="AD39" s="285" t="str">
        <f t="shared" si="14"/>
        <v/>
      </c>
      <c r="AE39" s="286" t="str">
        <f t="shared" si="15"/>
        <v/>
      </c>
      <c r="AF39" s="286">
        <f t="shared" si="16"/>
        <v>2659441.5584415589</v>
      </c>
      <c r="AG39" s="286" t="str">
        <f t="shared" si="17"/>
        <v/>
      </c>
      <c r="AH39" s="288" t="str">
        <f t="shared" si="18"/>
        <v/>
      </c>
    </row>
    <row r="40" spans="2:34">
      <c r="B40" s="219" t="s">
        <v>144</v>
      </c>
      <c r="C40" s="166" t="s">
        <v>192</v>
      </c>
      <c r="D40" s="166" t="s">
        <v>104</v>
      </c>
      <c r="E40" s="166" t="s">
        <v>118</v>
      </c>
      <c r="F40" s="166" t="s">
        <v>274</v>
      </c>
      <c r="G40" s="164">
        <v>56000</v>
      </c>
      <c r="H40" s="167">
        <v>8500</v>
      </c>
      <c r="I40" s="165">
        <v>45</v>
      </c>
      <c r="J40" s="168">
        <f>Table156[[#This Row],[Construction Unit Rate ($/m)]]*Table156[[#This Row],[Area size (m2)]]+Table156[[#This Row],[Utility allowance ($56,000/site)]]</f>
        <v>438500</v>
      </c>
      <c r="K40" s="167">
        <v>8500</v>
      </c>
      <c r="L40" s="169">
        <v>12280.519480519482</v>
      </c>
      <c r="M40" s="170">
        <f>Table156[[#This Row],[Land Unit Rate ($/m2)]]*Table156[[#This Row],[Size of land (m2) (*)]]</f>
        <v>104384415.5844156</v>
      </c>
      <c r="N40" s="117">
        <v>2021</v>
      </c>
      <c r="O40" s="117">
        <f>IFERROR(('General Input Sheet'!$G$38/(VLOOKUP(N40,'General Input Sheet'!$E$38:$G$48,3,FALSE))),1)</f>
        <v>1</v>
      </c>
      <c r="P40" s="200">
        <f t="shared" si="6"/>
        <v>104822915.5844156</v>
      </c>
      <c r="Q40" s="57" t="str">
        <f t="shared" si="7"/>
        <v/>
      </c>
      <c r="R40" s="57" t="str">
        <f t="shared" si="7"/>
        <v/>
      </c>
      <c r="S40" s="57" t="str">
        <f t="shared" si="7"/>
        <v>y</v>
      </c>
      <c r="T40" s="57" t="str">
        <f t="shared" si="7"/>
        <v/>
      </c>
      <c r="U40" s="100" t="str">
        <f t="shared" si="7"/>
        <v/>
      </c>
      <c r="V40" s="115"/>
      <c r="W40" s="201" t="str">
        <f t="shared" si="8"/>
        <v/>
      </c>
      <c r="X40" s="202" t="str">
        <f t="shared" si="9"/>
        <v/>
      </c>
      <c r="Y40" s="202">
        <f t="shared" si="10"/>
        <v>1</v>
      </c>
      <c r="Z40" s="202" t="str">
        <f t="shared" si="11"/>
        <v/>
      </c>
      <c r="AA40" s="202" t="str">
        <f t="shared" si="12"/>
        <v/>
      </c>
      <c r="AB40" s="61">
        <f t="shared" si="13"/>
        <v>1</v>
      </c>
      <c r="AD40" s="285" t="str">
        <f t="shared" si="14"/>
        <v/>
      </c>
      <c r="AE40" s="286" t="str">
        <f t="shared" si="15"/>
        <v/>
      </c>
      <c r="AF40" s="286">
        <f t="shared" si="16"/>
        <v>104822915.5844156</v>
      </c>
      <c r="AG40" s="286" t="str">
        <f t="shared" si="17"/>
        <v/>
      </c>
      <c r="AH40" s="288" t="str">
        <f t="shared" si="18"/>
        <v/>
      </c>
    </row>
    <row r="41" spans="2:34">
      <c r="B41" s="219" t="s">
        <v>144</v>
      </c>
      <c r="C41" s="166" t="s">
        <v>193</v>
      </c>
      <c r="D41" s="166" t="s">
        <v>146</v>
      </c>
      <c r="E41" s="166" t="s">
        <v>118</v>
      </c>
      <c r="F41" s="166" t="s">
        <v>275</v>
      </c>
      <c r="G41" s="164">
        <v>0</v>
      </c>
      <c r="H41" s="167">
        <v>8500</v>
      </c>
      <c r="I41" s="165">
        <v>45</v>
      </c>
      <c r="J41" s="168">
        <f>Table156[[#This Row],[Construction Unit Rate ($/m)]]*Table156[[#This Row],[Area size (m2)]]+Table156[[#This Row],[Utility allowance ($56,000/site)]]</f>
        <v>382500</v>
      </c>
      <c r="K41" s="167">
        <v>8500</v>
      </c>
      <c r="L41" s="169">
        <v>12280.519480519482</v>
      </c>
      <c r="M41" s="170">
        <f>Table156[[#This Row],[Land Unit Rate ($/m2)]]*Table156[[#This Row],[Size of land (m2) (*)]]</f>
        <v>104384415.5844156</v>
      </c>
      <c r="N41" s="117">
        <v>2021</v>
      </c>
      <c r="O41" s="117">
        <f>IFERROR(('General Input Sheet'!$G$38/(VLOOKUP(N41,'General Input Sheet'!$E$38:$G$48,3,FALSE))),1)</f>
        <v>1</v>
      </c>
      <c r="P41" s="200">
        <f t="shared" si="6"/>
        <v>104766915.5844156</v>
      </c>
      <c r="Q41" s="57" t="str">
        <f t="shared" si="7"/>
        <v/>
      </c>
      <c r="R41" s="57" t="str">
        <f t="shared" si="7"/>
        <v/>
      </c>
      <c r="S41" s="57" t="str">
        <f t="shared" si="7"/>
        <v>y</v>
      </c>
      <c r="T41" s="57" t="str">
        <f t="shared" si="7"/>
        <v/>
      </c>
      <c r="U41" s="100" t="str">
        <f t="shared" si="7"/>
        <v/>
      </c>
      <c r="V41" s="115"/>
      <c r="W41" s="201" t="str">
        <f t="shared" si="8"/>
        <v/>
      </c>
      <c r="X41" s="202" t="str">
        <f t="shared" si="9"/>
        <v/>
      </c>
      <c r="Y41" s="202">
        <f t="shared" si="10"/>
        <v>1</v>
      </c>
      <c r="Z41" s="202" t="str">
        <f t="shared" si="11"/>
        <v/>
      </c>
      <c r="AA41" s="202" t="str">
        <f t="shared" si="12"/>
        <v/>
      </c>
      <c r="AB41" s="61">
        <f t="shared" si="13"/>
        <v>1</v>
      </c>
      <c r="AD41" s="285" t="str">
        <f t="shared" si="14"/>
        <v/>
      </c>
      <c r="AE41" s="286" t="str">
        <f t="shared" si="15"/>
        <v/>
      </c>
      <c r="AF41" s="286">
        <f t="shared" si="16"/>
        <v>104766915.5844156</v>
      </c>
      <c r="AG41" s="286" t="str">
        <f t="shared" si="17"/>
        <v/>
      </c>
      <c r="AH41" s="288" t="str">
        <f t="shared" si="18"/>
        <v/>
      </c>
    </row>
    <row r="42" spans="2:34">
      <c r="B42" s="219" t="s">
        <v>144</v>
      </c>
      <c r="C42" s="166" t="s">
        <v>194</v>
      </c>
      <c r="D42" s="166" t="s">
        <v>146</v>
      </c>
      <c r="E42" s="166" t="s">
        <v>118</v>
      </c>
      <c r="F42" s="166" t="s">
        <v>276</v>
      </c>
      <c r="G42" s="164">
        <v>0</v>
      </c>
      <c r="H42" s="167">
        <v>8500</v>
      </c>
      <c r="I42" s="165">
        <v>45</v>
      </c>
      <c r="J42" s="168">
        <f>Table156[[#This Row],[Construction Unit Rate ($/m)]]*Table156[[#This Row],[Area size (m2)]]+Table156[[#This Row],[Utility allowance ($56,000/site)]]</f>
        <v>382500</v>
      </c>
      <c r="K42" s="167">
        <v>8500</v>
      </c>
      <c r="L42" s="169">
        <v>12280.519480519482</v>
      </c>
      <c r="M42" s="170">
        <f>Table156[[#This Row],[Land Unit Rate ($/m2)]]*Table156[[#This Row],[Size of land (m2) (*)]]</f>
        <v>104384415.5844156</v>
      </c>
      <c r="N42" s="117">
        <v>2021</v>
      </c>
      <c r="O42" s="117">
        <f>IFERROR(('General Input Sheet'!$G$38/(VLOOKUP(N42,'General Input Sheet'!$E$38:$G$48,3,FALSE))),1)</f>
        <v>1</v>
      </c>
      <c r="P42" s="200">
        <f t="shared" si="6"/>
        <v>104766915.5844156</v>
      </c>
      <c r="Q42" s="57" t="str">
        <f t="shared" si="7"/>
        <v/>
      </c>
      <c r="R42" s="57" t="str">
        <f t="shared" si="7"/>
        <v/>
      </c>
      <c r="S42" s="57" t="str">
        <f t="shared" si="7"/>
        <v>y</v>
      </c>
      <c r="T42" s="57" t="str">
        <f t="shared" si="7"/>
        <v/>
      </c>
      <c r="U42" s="100" t="str">
        <f t="shared" si="7"/>
        <v/>
      </c>
      <c r="V42" s="115"/>
      <c r="W42" s="201" t="str">
        <f t="shared" si="8"/>
        <v/>
      </c>
      <c r="X42" s="202" t="str">
        <f t="shared" si="9"/>
        <v/>
      </c>
      <c r="Y42" s="202">
        <f t="shared" si="10"/>
        <v>1</v>
      </c>
      <c r="Z42" s="202" t="str">
        <f t="shared" si="11"/>
        <v/>
      </c>
      <c r="AA42" s="202" t="str">
        <f t="shared" si="12"/>
        <v/>
      </c>
      <c r="AB42" s="61">
        <f t="shared" si="13"/>
        <v>1</v>
      </c>
      <c r="AD42" s="285" t="str">
        <f t="shared" si="14"/>
        <v/>
      </c>
      <c r="AE42" s="286" t="str">
        <f t="shared" si="15"/>
        <v/>
      </c>
      <c r="AF42" s="286">
        <f t="shared" si="16"/>
        <v>104766915.5844156</v>
      </c>
      <c r="AG42" s="286" t="str">
        <f t="shared" si="17"/>
        <v/>
      </c>
      <c r="AH42" s="288" t="str">
        <f t="shared" si="18"/>
        <v/>
      </c>
    </row>
    <row r="43" spans="2:34">
      <c r="B43" s="219" t="s">
        <v>341</v>
      </c>
      <c r="C43" s="166" t="s">
        <v>195</v>
      </c>
      <c r="D43" s="166" t="s">
        <v>104</v>
      </c>
      <c r="E43" s="166" t="s">
        <v>120</v>
      </c>
      <c r="F43" s="166" t="s">
        <v>277</v>
      </c>
      <c r="G43" s="164">
        <v>56000</v>
      </c>
      <c r="H43" s="167">
        <v>1000</v>
      </c>
      <c r="I43" s="165">
        <v>45</v>
      </c>
      <c r="J43" s="168">
        <f>Table156[[#This Row],[Construction Unit Rate ($/m)]]*Table156[[#This Row],[Area size (m2)]]+Table156[[#This Row],[Utility allowance ($56,000/site)]]</f>
        <v>101000</v>
      </c>
      <c r="K43" s="167">
        <v>1000</v>
      </c>
      <c r="L43" s="169">
        <v>1228.0519480519481</v>
      </c>
      <c r="M43" s="170">
        <f>Table156[[#This Row],[Land Unit Rate ($/m2)]]*Table156[[#This Row],[Size of land (m2) (*)]]</f>
        <v>1228051.9480519481</v>
      </c>
      <c r="N43" s="117">
        <v>2021</v>
      </c>
      <c r="O43" s="117">
        <f>IFERROR(('General Input Sheet'!$G$38/(VLOOKUP(N43,'General Input Sheet'!$E$38:$G$48,3,FALSE))),1)</f>
        <v>1</v>
      </c>
      <c r="P43" s="200">
        <f t="shared" si="6"/>
        <v>1329051.9480519481</v>
      </c>
      <c r="Q43" s="57" t="str">
        <f t="shared" si="7"/>
        <v/>
      </c>
      <c r="R43" s="57" t="str">
        <f t="shared" si="7"/>
        <v/>
      </c>
      <c r="S43" s="57" t="str">
        <f t="shared" si="7"/>
        <v/>
      </c>
      <c r="T43" s="57" t="str">
        <f t="shared" si="7"/>
        <v/>
      </c>
      <c r="U43" s="100" t="str">
        <f t="shared" si="7"/>
        <v>y</v>
      </c>
      <c r="V43" s="115"/>
      <c r="W43" s="201" t="str">
        <f t="shared" si="8"/>
        <v/>
      </c>
      <c r="X43" s="202" t="str">
        <f t="shared" si="9"/>
        <v/>
      </c>
      <c r="Y43" s="202" t="str">
        <f t="shared" si="10"/>
        <v/>
      </c>
      <c r="Z43" s="202" t="str">
        <f t="shared" si="11"/>
        <v/>
      </c>
      <c r="AA43" s="202">
        <f t="shared" si="12"/>
        <v>1</v>
      </c>
      <c r="AB43" s="61">
        <f t="shared" si="13"/>
        <v>1</v>
      </c>
      <c r="AD43" s="285" t="str">
        <f t="shared" si="14"/>
        <v/>
      </c>
      <c r="AE43" s="286" t="str">
        <f t="shared" si="15"/>
        <v/>
      </c>
      <c r="AF43" s="286" t="str">
        <f t="shared" si="16"/>
        <v/>
      </c>
      <c r="AG43" s="286" t="str">
        <f t="shared" si="17"/>
        <v/>
      </c>
      <c r="AH43" s="288">
        <f t="shared" si="18"/>
        <v>1329051.9480519481</v>
      </c>
    </row>
    <row r="44" spans="2:34">
      <c r="B44" s="219" t="s">
        <v>342</v>
      </c>
      <c r="C44" s="166" t="s">
        <v>196</v>
      </c>
      <c r="D44" s="166" t="s">
        <v>146</v>
      </c>
      <c r="E44" s="166" t="s">
        <v>117</v>
      </c>
      <c r="F44" s="166" t="s">
        <v>278</v>
      </c>
      <c r="G44" s="164">
        <v>56000</v>
      </c>
      <c r="H44" s="167">
        <v>1989</v>
      </c>
      <c r="I44" s="165">
        <v>45</v>
      </c>
      <c r="J44" s="168">
        <f>Table156[[#This Row],[Construction Unit Rate ($/m)]]*Table156[[#This Row],[Area size (m2)]]+Table156[[#This Row],[Utility allowance ($56,000/site)]]</f>
        <v>145505</v>
      </c>
      <c r="K44" s="167">
        <v>1989</v>
      </c>
      <c r="L44" s="169">
        <v>1535.0649350649353</v>
      </c>
      <c r="M44" s="170">
        <f>Table156[[#This Row],[Land Unit Rate ($/m2)]]*Table156[[#This Row],[Size of land (m2) (*)]]</f>
        <v>3053244.1558441562</v>
      </c>
      <c r="N44" s="117">
        <v>2021</v>
      </c>
      <c r="O44" s="117">
        <f>IFERROR(('General Input Sheet'!$G$38/(VLOOKUP(N44,'General Input Sheet'!$E$38:$G$48,3,FALSE))),1)</f>
        <v>1</v>
      </c>
      <c r="P44" s="200">
        <f t="shared" si="6"/>
        <v>3198749.1558441562</v>
      </c>
      <c r="Q44" s="57" t="str">
        <f t="shared" si="7"/>
        <v/>
      </c>
      <c r="R44" s="57" t="str">
        <f t="shared" si="7"/>
        <v>y</v>
      </c>
      <c r="S44" s="57" t="str">
        <f t="shared" si="7"/>
        <v/>
      </c>
      <c r="T44" s="57" t="str">
        <f t="shared" si="7"/>
        <v/>
      </c>
      <c r="U44" s="100" t="str">
        <f t="shared" si="7"/>
        <v/>
      </c>
      <c r="V44" s="115"/>
      <c r="W44" s="201" t="str">
        <f t="shared" si="8"/>
        <v/>
      </c>
      <c r="X44" s="202">
        <f t="shared" si="9"/>
        <v>1</v>
      </c>
      <c r="Y44" s="202" t="str">
        <f t="shared" si="10"/>
        <v/>
      </c>
      <c r="Z44" s="202" t="str">
        <f t="shared" si="11"/>
        <v/>
      </c>
      <c r="AA44" s="202" t="str">
        <f t="shared" si="12"/>
        <v/>
      </c>
      <c r="AB44" s="61">
        <f t="shared" si="13"/>
        <v>1</v>
      </c>
      <c r="AD44" s="285" t="str">
        <f t="shared" si="14"/>
        <v/>
      </c>
      <c r="AE44" s="286">
        <f t="shared" si="15"/>
        <v>3198749.1558441562</v>
      </c>
      <c r="AF44" s="286" t="str">
        <f t="shared" si="16"/>
        <v/>
      </c>
      <c r="AG44" s="286" t="str">
        <f t="shared" si="17"/>
        <v/>
      </c>
      <c r="AH44" s="288" t="str">
        <f t="shared" si="18"/>
        <v/>
      </c>
    </row>
    <row r="45" spans="2:34">
      <c r="B45" s="219" t="s">
        <v>343</v>
      </c>
      <c r="C45" s="166" t="s">
        <v>197</v>
      </c>
      <c r="D45" s="166" t="s">
        <v>104</v>
      </c>
      <c r="E45" s="166" t="s">
        <v>120</v>
      </c>
      <c r="F45" s="166" t="s">
        <v>279</v>
      </c>
      <c r="G45" s="164">
        <v>56000</v>
      </c>
      <c r="H45" s="167">
        <v>1600</v>
      </c>
      <c r="I45" s="165">
        <v>45</v>
      </c>
      <c r="J45" s="168">
        <f>Table156[[#This Row],[Construction Unit Rate ($/m)]]*Table156[[#This Row],[Area size (m2)]]+Table156[[#This Row],[Utility allowance ($56,000/site)]]</f>
        <v>128000</v>
      </c>
      <c r="K45" s="167">
        <v>1600</v>
      </c>
      <c r="L45" s="169">
        <v>1023.3766233766235</v>
      </c>
      <c r="M45" s="170">
        <f>Table156[[#This Row],[Land Unit Rate ($/m2)]]*Table156[[#This Row],[Size of land (m2) (*)]]</f>
        <v>1637402.5974025975</v>
      </c>
      <c r="N45" s="117">
        <v>2021</v>
      </c>
      <c r="O45" s="117">
        <f>IFERROR(('General Input Sheet'!$G$38/(VLOOKUP(N45,'General Input Sheet'!$E$38:$G$48,3,FALSE))),1)</f>
        <v>1</v>
      </c>
      <c r="P45" s="200">
        <f t="shared" si="6"/>
        <v>1765402.5974025975</v>
      </c>
      <c r="Q45" s="57" t="str">
        <f t="shared" si="7"/>
        <v/>
      </c>
      <c r="R45" s="57" t="str">
        <f t="shared" si="7"/>
        <v/>
      </c>
      <c r="S45" s="57" t="str">
        <f t="shared" si="7"/>
        <v/>
      </c>
      <c r="T45" s="57" t="str">
        <f t="shared" si="7"/>
        <v/>
      </c>
      <c r="U45" s="100" t="str">
        <f t="shared" si="7"/>
        <v>y</v>
      </c>
      <c r="V45" s="115"/>
      <c r="W45" s="201" t="str">
        <f t="shared" si="8"/>
        <v/>
      </c>
      <c r="X45" s="202" t="str">
        <f t="shared" si="9"/>
        <v/>
      </c>
      <c r="Y45" s="202" t="str">
        <f t="shared" si="10"/>
        <v/>
      </c>
      <c r="Z45" s="202" t="str">
        <f t="shared" si="11"/>
        <v/>
      </c>
      <c r="AA45" s="202">
        <f t="shared" si="12"/>
        <v>1</v>
      </c>
      <c r="AB45" s="61">
        <f t="shared" si="13"/>
        <v>1</v>
      </c>
      <c r="AD45" s="285" t="str">
        <f t="shared" si="14"/>
        <v/>
      </c>
      <c r="AE45" s="286" t="str">
        <f t="shared" si="15"/>
        <v/>
      </c>
      <c r="AF45" s="286" t="str">
        <f t="shared" si="16"/>
        <v/>
      </c>
      <c r="AG45" s="286" t="str">
        <f t="shared" si="17"/>
        <v/>
      </c>
      <c r="AH45" s="288">
        <f t="shared" si="18"/>
        <v>1765402.5974025975</v>
      </c>
    </row>
    <row r="46" spans="2:34">
      <c r="B46" s="219" t="s">
        <v>156</v>
      </c>
      <c r="C46" s="166" t="s">
        <v>198</v>
      </c>
      <c r="D46" s="166" t="s">
        <v>104</v>
      </c>
      <c r="E46" s="166" t="s">
        <v>117</v>
      </c>
      <c r="F46" s="166" t="s">
        <v>280</v>
      </c>
      <c r="G46" s="164">
        <v>56000</v>
      </c>
      <c r="H46" s="167">
        <v>11474</v>
      </c>
      <c r="I46" s="165">
        <v>45</v>
      </c>
      <c r="J46" s="168">
        <f>Table156[[#This Row],[Construction Unit Rate ($/m)]]*Table156[[#This Row],[Area size (m2)]]+Table156[[#This Row],[Utility allowance ($56,000/site)]]</f>
        <v>572330</v>
      </c>
      <c r="K46" s="167">
        <v>11474</v>
      </c>
      <c r="L46" s="169">
        <v>1228.0519480519481</v>
      </c>
      <c r="M46" s="170">
        <f>Table156[[#This Row],[Land Unit Rate ($/m2)]]*Table156[[#This Row],[Size of land (m2) (*)]]</f>
        <v>14090668.051948052</v>
      </c>
      <c r="N46" s="117">
        <v>2021</v>
      </c>
      <c r="O46" s="117">
        <f>IFERROR(('General Input Sheet'!$G$38/(VLOOKUP(N46,'General Input Sheet'!$E$38:$G$48,3,FALSE))),1)</f>
        <v>1</v>
      </c>
      <c r="P46" s="200">
        <f t="shared" si="6"/>
        <v>14662998.051948052</v>
      </c>
      <c r="Q46" s="57" t="str">
        <f t="shared" ref="Q46:U92" si="19">IF(Q$9=$E46,"y","")</f>
        <v/>
      </c>
      <c r="R46" s="57" t="str">
        <f t="shared" si="19"/>
        <v>y</v>
      </c>
      <c r="S46" s="57" t="str">
        <f t="shared" si="19"/>
        <v/>
      </c>
      <c r="T46" s="57" t="str">
        <f t="shared" si="19"/>
        <v/>
      </c>
      <c r="U46" s="100" t="str">
        <f t="shared" si="19"/>
        <v/>
      </c>
      <c r="V46" s="115"/>
      <c r="W46" s="201" t="str">
        <f t="shared" si="8"/>
        <v/>
      </c>
      <c r="X46" s="202">
        <f t="shared" si="9"/>
        <v>1</v>
      </c>
      <c r="Y46" s="202" t="str">
        <f t="shared" si="10"/>
        <v/>
      </c>
      <c r="Z46" s="202" t="str">
        <f t="shared" si="11"/>
        <v/>
      </c>
      <c r="AA46" s="202" t="str">
        <f t="shared" si="12"/>
        <v/>
      </c>
      <c r="AB46" s="61">
        <f t="shared" si="13"/>
        <v>1</v>
      </c>
      <c r="AD46" s="285" t="str">
        <f t="shared" si="14"/>
        <v/>
      </c>
      <c r="AE46" s="286">
        <f t="shared" si="15"/>
        <v>14662998.051948052</v>
      </c>
      <c r="AF46" s="286" t="str">
        <f t="shared" si="16"/>
        <v/>
      </c>
      <c r="AG46" s="286" t="str">
        <f t="shared" si="17"/>
        <v/>
      </c>
      <c r="AH46" s="288" t="str">
        <f t="shared" si="18"/>
        <v/>
      </c>
    </row>
    <row r="47" spans="2:34">
      <c r="B47" s="219" t="s">
        <v>156</v>
      </c>
      <c r="C47" s="166" t="s">
        <v>199</v>
      </c>
      <c r="D47" s="166" t="s">
        <v>146</v>
      </c>
      <c r="E47" s="166" t="s">
        <v>117</v>
      </c>
      <c r="F47" s="166" t="s">
        <v>281</v>
      </c>
      <c r="G47" s="164">
        <v>56000</v>
      </c>
      <c r="H47" s="167">
        <v>12335</v>
      </c>
      <c r="I47" s="165">
        <v>45</v>
      </c>
      <c r="J47" s="168">
        <f>Table156[[#This Row],[Construction Unit Rate ($/m)]]*Table156[[#This Row],[Area size (m2)]]+Table156[[#This Row],[Utility allowance ($56,000/site)]]</f>
        <v>611075</v>
      </c>
      <c r="K47" s="167">
        <v>12335</v>
      </c>
      <c r="L47" s="169">
        <v>102.33766233766235</v>
      </c>
      <c r="M47" s="170">
        <f>Table156[[#This Row],[Land Unit Rate ($/m2)]]*Table156[[#This Row],[Size of land (m2) (*)]]</f>
        <v>1262335.0649350651</v>
      </c>
      <c r="N47" s="117">
        <v>2021</v>
      </c>
      <c r="O47" s="117">
        <f>IFERROR(('General Input Sheet'!$G$38/(VLOOKUP(N47,'General Input Sheet'!$E$38:$G$48,3,FALSE))),1)</f>
        <v>1</v>
      </c>
      <c r="P47" s="200">
        <f t="shared" si="6"/>
        <v>1873410.0649350651</v>
      </c>
      <c r="Q47" s="57" t="str">
        <f t="shared" si="19"/>
        <v/>
      </c>
      <c r="R47" s="57" t="str">
        <f t="shared" si="19"/>
        <v>y</v>
      </c>
      <c r="S47" s="57" t="str">
        <f t="shared" si="19"/>
        <v/>
      </c>
      <c r="T47" s="57" t="str">
        <f t="shared" si="19"/>
        <v/>
      </c>
      <c r="U47" s="100" t="str">
        <f t="shared" si="19"/>
        <v/>
      </c>
      <c r="V47" s="115"/>
      <c r="W47" s="201" t="str">
        <f t="shared" si="8"/>
        <v/>
      </c>
      <c r="X47" s="202">
        <f t="shared" si="9"/>
        <v>1</v>
      </c>
      <c r="Y47" s="202" t="str">
        <f t="shared" si="10"/>
        <v/>
      </c>
      <c r="Z47" s="202" t="str">
        <f t="shared" si="11"/>
        <v/>
      </c>
      <c r="AA47" s="202" t="str">
        <f t="shared" si="12"/>
        <v/>
      </c>
      <c r="AB47" s="61">
        <f t="shared" si="13"/>
        <v>1</v>
      </c>
      <c r="AD47" s="285" t="str">
        <f t="shared" si="14"/>
        <v/>
      </c>
      <c r="AE47" s="286">
        <f t="shared" si="15"/>
        <v>1873410.0649350651</v>
      </c>
      <c r="AF47" s="286" t="str">
        <f t="shared" si="16"/>
        <v/>
      </c>
      <c r="AG47" s="286" t="str">
        <f t="shared" si="17"/>
        <v/>
      </c>
      <c r="AH47" s="288" t="str">
        <f t="shared" si="18"/>
        <v/>
      </c>
    </row>
    <row r="48" spans="2:34">
      <c r="B48" s="219" t="s">
        <v>144</v>
      </c>
      <c r="C48" s="166" t="s">
        <v>200</v>
      </c>
      <c r="D48" s="166" t="s">
        <v>245</v>
      </c>
      <c r="E48" s="166" t="s">
        <v>118</v>
      </c>
      <c r="F48" s="166" t="s">
        <v>282</v>
      </c>
      <c r="G48" s="164">
        <v>56000</v>
      </c>
      <c r="H48" s="167">
        <v>4600</v>
      </c>
      <c r="I48" s="165">
        <v>45</v>
      </c>
      <c r="J48" s="168">
        <f>Table156[[#This Row],[Construction Unit Rate ($/m)]]*Table156[[#This Row],[Area size (m2)]]+Table156[[#This Row],[Utility allowance ($56,000/site)]]</f>
        <v>263000</v>
      </c>
      <c r="K48" s="167">
        <v>4600</v>
      </c>
      <c r="L48" s="169">
        <v>12280.519480519482</v>
      </c>
      <c r="M48" s="170">
        <f>Table156[[#This Row],[Land Unit Rate ($/m2)]]*Table156[[#This Row],[Size of land (m2) (*)]]</f>
        <v>56490389.61038962</v>
      </c>
      <c r="N48" s="117">
        <v>2021</v>
      </c>
      <c r="O48" s="117">
        <f>IFERROR(('General Input Sheet'!$G$38/(VLOOKUP(N48,'General Input Sheet'!$E$38:$G$48,3,FALSE))),1)</f>
        <v>1</v>
      </c>
      <c r="P48" s="200">
        <f t="shared" si="6"/>
        <v>56753389.61038962</v>
      </c>
      <c r="Q48" s="57" t="str">
        <f t="shared" si="19"/>
        <v/>
      </c>
      <c r="R48" s="57" t="str">
        <f t="shared" si="19"/>
        <v/>
      </c>
      <c r="S48" s="57" t="str">
        <f t="shared" si="19"/>
        <v>y</v>
      </c>
      <c r="T48" s="57" t="str">
        <f t="shared" si="19"/>
        <v/>
      </c>
      <c r="U48" s="100" t="str">
        <f t="shared" si="19"/>
        <v/>
      </c>
      <c r="V48" s="115"/>
      <c r="W48" s="201" t="str">
        <f t="shared" si="8"/>
        <v/>
      </c>
      <c r="X48" s="202" t="str">
        <f t="shared" si="9"/>
        <v/>
      </c>
      <c r="Y48" s="202">
        <f t="shared" si="10"/>
        <v>1</v>
      </c>
      <c r="Z48" s="202" t="str">
        <f t="shared" si="11"/>
        <v/>
      </c>
      <c r="AA48" s="202" t="str">
        <f t="shared" si="12"/>
        <v/>
      </c>
      <c r="AB48" s="61">
        <f t="shared" si="13"/>
        <v>1</v>
      </c>
      <c r="AD48" s="285" t="str">
        <f t="shared" si="14"/>
        <v/>
      </c>
      <c r="AE48" s="286" t="str">
        <f t="shared" si="15"/>
        <v/>
      </c>
      <c r="AF48" s="286">
        <f t="shared" si="16"/>
        <v>56753389.61038962</v>
      </c>
      <c r="AG48" s="286" t="str">
        <f t="shared" si="17"/>
        <v/>
      </c>
      <c r="AH48" s="288" t="str">
        <f t="shared" si="18"/>
        <v/>
      </c>
    </row>
    <row r="49" spans="2:34">
      <c r="B49" s="219" t="s">
        <v>162</v>
      </c>
      <c r="C49" s="166" t="s">
        <v>201</v>
      </c>
      <c r="D49" s="166" t="s">
        <v>104</v>
      </c>
      <c r="E49" s="166" t="s">
        <v>119</v>
      </c>
      <c r="F49" s="166" t="s">
        <v>283</v>
      </c>
      <c r="G49" s="164">
        <v>56000</v>
      </c>
      <c r="H49" s="167">
        <v>800</v>
      </c>
      <c r="I49" s="165">
        <v>45</v>
      </c>
      <c r="J49" s="168">
        <f>Table156[[#This Row],[Construction Unit Rate ($/m)]]*Table156[[#This Row],[Area size (m2)]]+Table156[[#This Row],[Utility allowance ($56,000/site)]]</f>
        <v>92000</v>
      </c>
      <c r="K49" s="167">
        <v>800</v>
      </c>
      <c r="L49" s="169">
        <v>1228.0519480519481</v>
      </c>
      <c r="M49" s="170">
        <f>Table156[[#This Row],[Land Unit Rate ($/m2)]]*Table156[[#This Row],[Size of land (m2) (*)]]</f>
        <v>982441.5584415585</v>
      </c>
      <c r="N49" s="117">
        <v>2021</v>
      </c>
      <c r="O49" s="117">
        <f>IFERROR(('General Input Sheet'!$G$38/(VLOOKUP(N49,'General Input Sheet'!$E$38:$G$48,3,FALSE))),1)</f>
        <v>1</v>
      </c>
      <c r="P49" s="200">
        <f t="shared" si="6"/>
        <v>1074441.5584415584</v>
      </c>
      <c r="Q49" s="57" t="str">
        <f t="shared" si="19"/>
        <v/>
      </c>
      <c r="R49" s="57" t="str">
        <f t="shared" si="19"/>
        <v/>
      </c>
      <c r="S49" s="57" t="str">
        <f t="shared" si="19"/>
        <v/>
      </c>
      <c r="T49" s="57" t="str">
        <f t="shared" si="19"/>
        <v>y</v>
      </c>
      <c r="U49" s="100" t="str">
        <f t="shared" si="19"/>
        <v/>
      </c>
      <c r="V49" s="115"/>
      <c r="W49" s="201" t="str">
        <f t="shared" si="8"/>
        <v/>
      </c>
      <c r="X49" s="202" t="str">
        <f t="shared" si="9"/>
        <v/>
      </c>
      <c r="Y49" s="202" t="str">
        <f t="shared" si="10"/>
        <v/>
      </c>
      <c r="Z49" s="202">
        <f t="shared" si="11"/>
        <v>1</v>
      </c>
      <c r="AA49" s="202" t="str">
        <f t="shared" si="12"/>
        <v/>
      </c>
      <c r="AB49" s="61">
        <f t="shared" si="13"/>
        <v>1</v>
      </c>
      <c r="AD49" s="285" t="str">
        <f t="shared" si="14"/>
        <v/>
      </c>
      <c r="AE49" s="286" t="str">
        <f t="shared" si="15"/>
        <v/>
      </c>
      <c r="AF49" s="286" t="str">
        <f t="shared" si="16"/>
        <v/>
      </c>
      <c r="AG49" s="286">
        <f t="shared" si="17"/>
        <v>1074441.5584415584</v>
      </c>
      <c r="AH49" s="288" t="str">
        <f t="shared" si="18"/>
        <v/>
      </c>
    </row>
    <row r="50" spans="2:34">
      <c r="B50" s="219" t="s">
        <v>162</v>
      </c>
      <c r="C50" s="166" t="s">
        <v>202</v>
      </c>
      <c r="D50" s="166" t="s">
        <v>104</v>
      </c>
      <c r="E50" s="166" t="s">
        <v>119</v>
      </c>
      <c r="F50" s="166" t="s">
        <v>284</v>
      </c>
      <c r="G50" s="164">
        <v>56000</v>
      </c>
      <c r="H50" s="167">
        <v>200</v>
      </c>
      <c r="I50" s="165">
        <v>45</v>
      </c>
      <c r="J50" s="168">
        <f>Table156[[#This Row],[Construction Unit Rate ($/m)]]*Table156[[#This Row],[Area size (m2)]]+Table156[[#This Row],[Utility allowance ($56,000/site)]]</f>
        <v>65000</v>
      </c>
      <c r="K50" s="167">
        <v>200</v>
      </c>
      <c r="L50" s="169">
        <v>1023.3766233766235</v>
      </c>
      <c r="M50" s="170">
        <f>Table156[[#This Row],[Land Unit Rate ($/m2)]]*Table156[[#This Row],[Size of land (m2) (*)]]</f>
        <v>204675.32467532469</v>
      </c>
      <c r="N50" s="117">
        <v>2021</v>
      </c>
      <c r="O50" s="117">
        <f>IFERROR(('General Input Sheet'!$G$38/(VLOOKUP(N50,'General Input Sheet'!$E$38:$G$48,3,FALSE))),1)</f>
        <v>1</v>
      </c>
      <c r="P50" s="200">
        <f t="shared" si="6"/>
        <v>269675.32467532472</v>
      </c>
      <c r="Q50" s="57" t="str">
        <f t="shared" si="19"/>
        <v/>
      </c>
      <c r="R50" s="57" t="str">
        <f t="shared" si="19"/>
        <v/>
      </c>
      <c r="S50" s="57" t="str">
        <f t="shared" si="19"/>
        <v/>
      </c>
      <c r="T50" s="57" t="str">
        <f t="shared" si="19"/>
        <v>y</v>
      </c>
      <c r="U50" s="100" t="str">
        <f t="shared" si="19"/>
        <v/>
      </c>
      <c r="V50" s="115"/>
      <c r="W50" s="201" t="str">
        <f t="shared" si="8"/>
        <v/>
      </c>
      <c r="X50" s="202" t="str">
        <f t="shared" si="9"/>
        <v/>
      </c>
      <c r="Y50" s="202" t="str">
        <f t="shared" si="10"/>
        <v/>
      </c>
      <c r="Z50" s="202">
        <f t="shared" si="11"/>
        <v>1</v>
      </c>
      <c r="AA50" s="202" t="str">
        <f t="shared" si="12"/>
        <v/>
      </c>
      <c r="AB50" s="61">
        <f t="shared" si="13"/>
        <v>1</v>
      </c>
      <c r="AD50" s="285" t="str">
        <f t="shared" si="14"/>
        <v/>
      </c>
      <c r="AE50" s="286" t="str">
        <f t="shared" si="15"/>
        <v/>
      </c>
      <c r="AF50" s="286" t="str">
        <f t="shared" si="16"/>
        <v/>
      </c>
      <c r="AG50" s="286">
        <f t="shared" si="17"/>
        <v>269675.32467532472</v>
      </c>
      <c r="AH50" s="288" t="str">
        <f t="shared" si="18"/>
        <v/>
      </c>
    </row>
    <row r="51" spans="2:34">
      <c r="B51" s="219" t="s">
        <v>162</v>
      </c>
      <c r="C51" s="166" t="s">
        <v>203</v>
      </c>
      <c r="D51" s="166" t="s">
        <v>104</v>
      </c>
      <c r="E51" s="166" t="s">
        <v>119</v>
      </c>
      <c r="F51" s="166" t="s">
        <v>285</v>
      </c>
      <c r="G51" s="164">
        <v>56000</v>
      </c>
      <c r="H51" s="167">
        <v>800</v>
      </c>
      <c r="I51" s="165">
        <v>45</v>
      </c>
      <c r="J51" s="168">
        <f>Table156[[#This Row],[Construction Unit Rate ($/m)]]*Table156[[#This Row],[Area size (m2)]]+Table156[[#This Row],[Utility allowance ($56,000/site)]]</f>
        <v>92000</v>
      </c>
      <c r="K51" s="167">
        <v>800</v>
      </c>
      <c r="L51" s="169">
        <v>1023.3766233766235</v>
      </c>
      <c r="M51" s="170">
        <f>Table156[[#This Row],[Land Unit Rate ($/m2)]]*Table156[[#This Row],[Size of land (m2) (*)]]</f>
        <v>818701.29870129877</v>
      </c>
      <c r="N51" s="117">
        <v>2021</v>
      </c>
      <c r="O51" s="117">
        <f>IFERROR(('General Input Sheet'!$G$38/(VLOOKUP(N51,'General Input Sheet'!$E$38:$G$48,3,FALSE))),1)</f>
        <v>1</v>
      </c>
      <c r="P51" s="200">
        <f t="shared" si="6"/>
        <v>910701.29870129877</v>
      </c>
      <c r="Q51" s="57" t="str">
        <f t="shared" si="19"/>
        <v/>
      </c>
      <c r="R51" s="57" t="str">
        <f t="shared" si="19"/>
        <v/>
      </c>
      <c r="S51" s="57" t="str">
        <f t="shared" si="19"/>
        <v/>
      </c>
      <c r="T51" s="57" t="str">
        <f t="shared" si="19"/>
        <v>y</v>
      </c>
      <c r="U51" s="100" t="str">
        <f t="shared" si="19"/>
        <v/>
      </c>
      <c r="V51" s="115"/>
      <c r="W51" s="201" t="str">
        <f t="shared" si="8"/>
        <v/>
      </c>
      <c r="X51" s="202" t="str">
        <f t="shared" si="9"/>
        <v/>
      </c>
      <c r="Y51" s="202" t="str">
        <f t="shared" si="10"/>
        <v/>
      </c>
      <c r="Z51" s="202">
        <f t="shared" si="11"/>
        <v>1</v>
      </c>
      <c r="AA51" s="202" t="str">
        <f t="shared" si="12"/>
        <v/>
      </c>
      <c r="AB51" s="61">
        <f t="shared" si="13"/>
        <v>1</v>
      </c>
      <c r="AD51" s="285" t="str">
        <f t="shared" si="14"/>
        <v/>
      </c>
      <c r="AE51" s="286" t="str">
        <f t="shared" si="15"/>
        <v/>
      </c>
      <c r="AF51" s="286" t="str">
        <f t="shared" si="16"/>
        <v/>
      </c>
      <c r="AG51" s="286">
        <f t="shared" si="17"/>
        <v>910701.29870129877</v>
      </c>
      <c r="AH51" s="288" t="str">
        <f t="shared" si="18"/>
        <v/>
      </c>
    </row>
    <row r="52" spans="2:34">
      <c r="B52" s="219" t="s">
        <v>344</v>
      </c>
      <c r="C52" s="166" t="s">
        <v>204</v>
      </c>
      <c r="D52" s="166" t="s">
        <v>146</v>
      </c>
      <c r="E52" s="166" t="s">
        <v>119</v>
      </c>
      <c r="F52" s="166" t="s">
        <v>286</v>
      </c>
      <c r="G52" s="164">
        <v>56000</v>
      </c>
      <c r="H52" s="167">
        <v>1700</v>
      </c>
      <c r="I52" s="165">
        <v>45</v>
      </c>
      <c r="J52" s="168">
        <f>Table156[[#This Row],[Construction Unit Rate ($/m)]]*Table156[[#This Row],[Area size (m2)]]+Table156[[#This Row],[Utility allowance ($56,000/site)]]</f>
        <v>132500</v>
      </c>
      <c r="K52" s="167">
        <v>1700</v>
      </c>
      <c r="L52" s="169">
        <v>1228.0519480519481</v>
      </c>
      <c r="M52" s="170">
        <f>Table156[[#This Row],[Land Unit Rate ($/m2)]]*Table156[[#This Row],[Size of land (m2) (*)]]</f>
        <v>2087688.3116883119</v>
      </c>
      <c r="N52" s="117">
        <v>2021</v>
      </c>
      <c r="O52" s="117">
        <f>IFERROR(('General Input Sheet'!$G$38/(VLOOKUP(N52,'General Input Sheet'!$E$38:$G$48,3,FALSE))),1)</f>
        <v>1</v>
      </c>
      <c r="P52" s="200">
        <f t="shared" si="6"/>
        <v>2220188.3116883119</v>
      </c>
      <c r="Q52" s="57" t="str">
        <f t="shared" si="19"/>
        <v/>
      </c>
      <c r="R52" s="57" t="str">
        <f t="shared" si="19"/>
        <v/>
      </c>
      <c r="S52" s="57" t="str">
        <f t="shared" si="19"/>
        <v/>
      </c>
      <c r="T52" s="57" t="str">
        <f t="shared" si="19"/>
        <v>y</v>
      </c>
      <c r="U52" s="100" t="str">
        <f t="shared" si="19"/>
        <v/>
      </c>
      <c r="V52" s="115"/>
      <c r="W52" s="201" t="str">
        <f t="shared" si="8"/>
        <v/>
      </c>
      <c r="X52" s="202" t="str">
        <f t="shared" si="9"/>
        <v/>
      </c>
      <c r="Y52" s="202" t="str">
        <f t="shared" si="10"/>
        <v/>
      </c>
      <c r="Z52" s="202">
        <f t="shared" si="11"/>
        <v>1</v>
      </c>
      <c r="AA52" s="202" t="str">
        <f t="shared" si="12"/>
        <v/>
      </c>
      <c r="AB52" s="61">
        <f t="shared" si="13"/>
        <v>1</v>
      </c>
      <c r="AD52" s="285" t="str">
        <f t="shared" si="14"/>
        <v/>
      </c>
      <c r="AE52" s="286" t="str">
        <f t="shared" si="15"/>
        <v/>
      </c>
      <c r="AF52" s="286" t="str">
        <f t="shared" si="16"/>
        <v/>
      </c>
      <c r="AG52" s="286">
        <f t="shared" si="17"/>
        <v>2220188.3116883119</v>
      </c>
      <c r="AH52" s="288" t="str">
        <f t="shared" si="18"/>
        <v/>
      </c>
    </row>
    <row r="53" spans="2:34">
      <c r="B53" s="219" t="s">
        <v>333</v>
      </c>
      <c r="C53" s="166" t="s">
        <v>205</v>
      </c>
      <c r="D53" s="166" t="s">
        <v>104</v>
      </c>
      <c r="E53" s="166" t="s">
        <v>118</v>
      </c>
      <c r="F53" s="166" t="s">
        <v>287</v>
      </c>
      <c r="G53" s="164">
        <v>56000</v>
      </c>
      <c r="H53" s="167">
        <v>1700</v>
      </c>
      <c r="I53" s="165">
        <v>45</v>
      </c>
      <c r="J53" s="168">
        <f>Table156[[#This Row],[Construction Unit Rate ($/m)]]*Table156[[#This Row],[Area size (m2)]]+Table156[[#This Row],[Utility allowance ($56,000/site)]]</f>
        <v>132500</v>
      </c>
      <c r="K53" s="167">
        <v>1700</v>
      </c>
      <c r="L53" s="169">
        <v>2558.4415584415588</v>
      </c>
      <c r="M53" s="170">
        <f>Table156[[#This Row],[Land Unit Rate ($/m2)]]*Table156[[#This Row],[Size of land (m2) (*)]]</f>
        <v>4349350.6493506497</v>
      </c>
      <c r="N53" s="117">
        <v>2021</v>
      </c>
      <c r="O53" s="117">
        <f>IFERROR(('General Input Sheet'!$G$38/(VLOOKUP(N53,'General Input Sheet'!$E$38:$G$48,3,FALSE))),1)</f>
        <v>1</v>
      </c>
      <c r="P53" s="200">
        <f t="shared" si="6"/>
        <v>4481850.6493506497</v>
      </c>
      <c r="Q53" s="57" t="str">
        <f t="shared" si="19"/>
        <v/>
      </c>
      <c r="R53" s="57" t="str">
        <f t="shared" si="19"/>
        <v/>
      </c>
      <c r="S53" s="57" t="str">
        <f t="shared" si="19"/>
        <v>y</v>
      </c>
      <c r="T53" s="57" t="str">
        <f t="shared" si="19"/>
        <v/>
      </c>
      <c r="U53" s="100" t="str">
        <f t="shared" si="19"/>
        <v/>
      </c>
      <c r="V53" s="115"/>
      <c r="W53" s="201" t="str">
        <f t="shared" si="8"/>
        <v/>
      </c>
      <c r="X53" s="202" t="str">
        <f t="shared" si="9"/>
        <v/>
      </c>
      <c r="Y53" s="202">
        <f t="shared" si="10"/>
        <v>1</v>
      </c>
      <c r="Z53" s="202" t="str">
        <f t="shared" si="11"/>
        <v/>
      </c>
      <c r="AA53" s="202" t="str">
        <f t="shared" si="12"/>
        <v/>
      </c>
      <c r="AB53" s="61">
        <f t="shared" si="13"/>
        <v>1</v>
      </c>
      <c r="AD53" s="285" t="str">
        <f t="shared" si="14"/>
        <v/>
      </c>
      <c r="AE53" s="286" t="str">
        <f t="shared" si="15"/>
        <v/>
      </c>
      <c r="AF53" s="286">
        <f t="shared" si="16"/>
        <v>4481850.6493506497</v>
      </c>
      <c r="AG53" s="286" t="str">
        <f t="shared" si="17"/>
        <v/>
      </c>
      <c r="AH53" s="288" t="str">
        <f t="shared" si="18"/>
        <v/>
      </c>
    </row>
    <row r="54" spans="2:34">
      <c r="B54" s="219" t="s">
        <v>153</v>
      </c>
      <c r="C54" s="166" t="s">
        <v>206</v>
      </c>
      <c r="D54" s="166" t="s">
        <v>104</v>
      </c>
      <c r="E54" s="166" t="s">
        <v>117</v>
      </c>
      <c r="F54" s="166" t="s">
        <v>288</v>
      </c>
      <c r="G54" s="164">
        <v>56000</v>
      </c>
      <c r="H54" s="167">
        <v>1500</v>
      </c>
      <c r="I54" s="165">
        <v>45</v>
      </c>
      <c r="J54" s="168">
        <f>Table156[[#This Row],[Construction Unit Rate ($/m)]]*Table156[[#This Row],[Area size (m2)]]+Table156[[#This Row],[Utility allowance ($56,000/site)]]</f>
        <v>123500</v>
      </c>
      <c r="K54" s="167">
        <v>1500</v>
      </c>
      <c r="L54" s="169">
        <v>2558.4415584415588</v>
      </c>
      <c r="M54" s="170">
        <f>Table156[[#This Row],[Land Unit Rate ($/m2)]]*Table156[[#This Row],[Size of land (m2) (*)]]</f>
        <v>3837662.3376623383</v>
      </c>
      <c r="N54" s="117">
        <v>2021</v>
      </c>
      <c r="O54" s="117">
        <f>IFERROR(('General Input Sheet'!$G$38/(VLOOKUP(N54,'General Input Sheet'!$E$38:$G$48,3,FALSE))),1)</f>
        <v>1</v>
      </c>
      <c r="P54" s="200">
        <f t="shared" si="6"/>
        <v>3961162.3376623383</v>
      </c>
      <c r="Q54" s="57" t="str">
        <f t="shared" si="19"/>
        <v/>
      </c>
      <c r="R54" s="57" t="str">
        <f t="shared" si="19"/>
        <v>y</v>
      </c>
      <c r="S54" s="57" t="str">
        <f t="shared" si="19"/>
        <v/>
      </c>
      <c r="T54" s="57" t="str">
        <f t="shared" si="19"/>
        <v/>
      </c>
      <c r="U54" s="100" t="str">
        <f t="shared" si="19"/>
        <v/>
      </c>
      <c r="V54" s="115"/>
      <c r="W54" s="201" t="str">
        <f t="shared" si="8"/>
        <v/>
      </c>
      <c r="X54" s="202">
        <f t="shared" si="9"/>
        <v>1</v>
      </c>
      <c r="Y54" s="202" t="str">
        <f t="shared" si="10"/>
        <v/>
      </c>
      <c r="Z54" s="202" t="str">
        <f t="shared" si="11"/>
        <v/>
      </c>
      <c r="AA54" s="202" t="str">
        <f t="shared" si="12"/>
        <v/>
      </c>
      <c r="AB54" s="61">
        <f t="shared" si="13"/>
        <v>1</v>
      </c>
      <c r="AD54" s="285" t="str">
        <f t="shared" si="14"/>
        <v/>
      </c>
      <c r="AE54" s="286">
        <f t="shared" si="15"/>
        <v>3961162.3376623383</v>
      </c>
      <c r="AF54" s="286" t="str">
        <f t="shared" si="16"/>
        <v/>
      </c>
      <c r="AG54" s="286" t="str">
        <f t="shared" si="17"/>
        <v/>
      </c>
      <c r="AH54" s="288" t="str">
        <f t="shared" si="18"/>
        <v/>
      </c>
    </row>
    <row r="55" spans="2:34">
      <c r="B55" s="219" t="s">
        <v>326</v>
      </c>
      <c r="C55" s="166" t="s">
        <v>207</v>
      </c>
      <c r="D55" s="166" t="s">
        <v>103</v>
      </c>
      <c r="E55" s="166" t="s">
        <v>120</v>
      </c>
      <c r="F55" s="166" t="s">
        <v>289</v>
      </c>
      <c r="G55" s="164">
        <v>56000</v>
      </c>
      <c r="H55" s="167">
        <v>1300</v>
      </c>
      <c r="I55" s="165">
        <v>45</v>
      </c>
      <c r="J55" s="168">
        <f>Table156[[#This Row],[Construction Unit Rate ($/m)]]*Table156[[#This Row],[Area size (m2)]]+Table156[[#This Row],[Utility allowance ($56,000/site)]]</f>
        <v>114500</v>
      </c>
      <c r="K55" s="167">
        <v>1300</v>
      </c>
      <c r="L55" s="169">
        <v>2558.4415584415588</v>
      </c>
      <c r="M55" s="170">
        <f>Table156[[#This Row],[Land Unit Rate ($/m2)]]*Table156[[#This Row],[Size of land (m2) (*)]]</f>
        <v>3325974.0259740264</v>
      </c>
      <c r="N55" s="117">
        <v>2021</v>
      </c>
      <c r="O55" s="117">
        <f>IFERROR(('General Input Sheet'!$G$38/(VLOOKUP(N55,'General Input Sheet'!$E$38:$G$48,3,FALSE))),1)</f>
        <v>1</v>
      </c>
      <c r="P55" s="200">
        <f t="shared" si="6"/>
        <v>3440474.0259740264</v>
      </c>
      <c r="Q55" s="57" t="str">
        <f t="shared" si="19"/>
        <v/>
      </c>
      <c r="R55" s="57" t="str">
        <f t="shared" si="19"/>
        <v/>
      </c>
      <c r="S55" s="57" t="str">
        <f t="shared" si="19"/>
        <v/>
      </c>
      <c r="T55" s="57" t="str">
        <f t="shared" si="19"/>
        <v/>
      </c>
      <c r="U55" s="100" t="str">
        <f t="shared" si="19"/>
        <v>y</v>
      </c>
      <c r="V55" s="115"/>
      <c r="W55" s="201" t="str">
        <f t="shared" si="8"/>
        <v/>
      </c>
      <c r="X55" s="202" t="str">
        <f t="shared" si="9"/>
        <v/>
      </c>
      <c r="Y55" s="202" t="str">
        <f t="shared" si="10"/>
        <v/>
      </c>
      <c r="Z55" s="202" t="str">
        <f t="shared" si="11"/>
        <v/>
      </c>
      <c r="AA55" s="202">
        <f t="shared" si="12"/>
        <v>1</v>
      </c>
      <c r="AB55" s="61">
        <f t="shared" si="13"/>
        <v>1</v>
      </c>
      <c r="AD55" s="285" t="str">
        <f t="shared" si="14"/>
        <v/>
      </c>
      <c r="AE55" s="286" t="str">
        <f t="shared" si="15"/>
        <v/>
      </c>
      <c r="AF55" s="286" t="str">
        <f t="shared" si="16"/>
        <v/>
      </c>
      <c r="AG55" s="286" t="str">
        <f t="shared" si="17"/>
        <v/>
      </c>
      <c r="AH55" s="288">
        <f t="shared" si="18"/>
        <v>3440474.0259740264</v>
      </c>
    </row>
    <row r="56" spans="2:34">
      <c r="B56" s="219" t="s">
        <v>325</v>
      </c>
      <c r="C56" s="166" t="s">
        <v>208</v>
      </c>
      <c r="D56" s="166" t="s">
        <v>104</v>
      </c>
      <c r="E56" s="166" t="s">
        <v>118</v>
      </c>
      <c r="F56" s="166" t="s">
        <v>290</v>
      </c>
      <c r="G56" s="164">
        <v>56000</v>
      </c>
      <c r="H56" s="167">
        <v>1000</v>
      </c>
      <c r="I56" s="165">
        <v>45</v>
      </c>
      <c r="J56" s="168">
        <f>Table156[[#This Row],[Construction Unit Rate ($/m)]]*Table156[[#This Row],[Area size (m2)]]+Table156[[#This Row],[Utility allowance ($56,000/site)]]</f>
        <v>101000</v>
      </c>
      <c r="K56" s="167">
        <v>1000</v>
      </c>
      <c r="L56" s="169">
        <v>2558.4415584415588</v>
      </c>
      <c r="M56" s="170">
        <f>Table156[[#This Row],[Land Unit Rate ($/m2)]]*Table156[[#This Row],[Size of land (m2) (*)]]</f>
        <v>2558441.5584415589</v>
      </c>
      <c r="N56" s="117">
        <v>2021</v>
      </c>
      <c r="O56" s="117">
        <f>IFERROR(('General Input Sheet'!$G$38/(VLOOKUP(N56,'General Input Sheet'!$E$38:$G$48,3,FALSE))),1)</f>
        <v>1</v>
      </c>
      <c r="P56" s="200">
        <f t="shared" si="6"/>
        <v>2659441.5584415589</v>
      </c>
      <c r="Q56" s="57" t="str">
        <f t="shared" si="19"/>
        <v/>
      </c>
      <c r="R56" s="57" t="str">
        <f t="shared" si="19"/>
        <v/>
      </c>
      <c r="S56" s="57" t="str">
        <f t="shared" si="19"/>
        <v>y</v>
      </c>
      <c r="T56" s="57" t="str">
        <f t="shared" si="19"/>
        <v/>
      </c>
      <c r="U56" s="100" t="str">
        <f t="shared" si="19"/>
        <v/>
      </c>
      <c r="V56" s="115"/>
      <c r="W56" s="201" t="str">
        <f t="shared" si="8"/>
        <v/>
      </c>
      <c r="X56" s="202" t="str">
        <f t="shared" si="9"/>
        <v/>
      </c>
      <c r="Y56" s="202">
        <f t="shared" si="10"/>
        <v>1</v>
      </c>
      <c r="Z56" s="202" t="str">
        <f t="shared" si="11"/>
        <v/>
      </c>
      <c r="AA56" s="202" t="str">
        <f t="shared" si="12"/>
        <v/>
      </c>
      <c r="AB56" s="61">
        <f t="shared" si="13"/>
        <v>1</v>
      </c>
      <c r="AD56" s="285" t="str">
        <f t="shared" si="14"/>
        <v/>
      </c>
      <c r="AE56" s="286" t="str">
        <f t="shared" si="15"/>
        <v/>
      </c>
      <c r="AF56" s="286">
        <f t="shared" si="16"/>
        <v>2659441.5584415589</v>
      </c>
      <c r="AG56" s="286" t="str">
        <f t="shared" si="17"/>
        <v/>
      </c>
      <c r="AH56" s="288" t="str">
        <f t="shared" si="18"/>
        <v/>
      </c>
    </row>
    <row r="57" spans="2:34">
      <c r="B57" s="219" t="s">
        <v>345</v>
      </c>
      <c r="C57" s="166" t="s">
        <v>209</v>
      </c>
      <c r="D57" s="166" t="s">
        <v>104</v>
      </c>
      <c r="E57" s="166" t="s">
        <v>119</v>
      </c>
      <c r="F57" s="166" t="s">
        <v>291</v>
      </c>
      <c r="G57" s="164">
        <v>56000</v>
      </c>
      <c r="H57" s="167">
        <v>1800</v>
      </c>
      <c r="I57" s="165">
        <v>45</v>
      </c>
      <c r="J57" s="168">
        <f>Table156[[#This Row],[Construction Unit Rate ($/m)]]*Table156[[#This Row],[Area size (m2)]]+Table156[[#This Row],[Utility allowance ($56,000/site)]]</f>
        <v>137000</v>
      </c>
      <c r="K57" s="167">
        <v>1800</v>
      </c>
      <c r="L57" s="169">
        <v>1279.2207792207794</v>
      </c>
      <c r="M57" s="170">
        <f>Table156[[#This Row],[Land Unit Rate ($/m2)]]*Table156[[#This Row],[Size of land (m2) (*)]]</f>
        <v>2302597.4025974027</v>
      </c>
      <c r="N57" s="117">
        <v>2021</v>
      </c>
      <c r="O57" s="117">
        <f>IFERROR(('General Input Sheet'!$G$38/(VLOOKUP(N57,'General Input Sheet'!$E$38:$G$48,3,FALSE))),1)</f>
        <v>1</v>
      </c>
      <c r="P57" s="200">
        <f t="shared" si="6"/>
        <v>2439597.4025974027</v>
      </c>
      <c r="Q57" s="57" t="str">
        <f t="shared" si="19"/>
        <v/>
      </c>
      <c r="R57" s="57" t="str">
        <f t="shared" si="19"/>
        <v/>
      </c>
      <c r="S57" s="57" t="str">
        <f t="shared" si="19"/>
        <v/>
      </c>
      <c r="T57" s="57" t="str">
        <f t="shared" si="19"/>
        <v>y</v>
      </c>
      <c r="U57" s="100" t="str">
        <f t="shared" si="19"/>
        <v/>
      </c>
      <c r="V57" s="115"/>
      <c r="W57" s="201" t="str">
        <f t="shared" si="8"/>
        <v/>
      </c>
      <c r="X57" s="202" t="str">
        <f t="shared" si="9"/>
        <v/>
      </c>
      <c r="Y57" s="202" t="str">
        <f t="shared" si="10"/>
        <v/>
      </c>
      <c r="Z57" s="202">
        <f t="shared" si="11"/>
        <v>1</v>
      </c>
      <c r="AA57" s="202" t="str">
        <f t="shared" si="12"/>
        <v/>
      </c>
      <c r="AB57" s="61">
        <f t="shared" si="13"/>
        <v>1</v>
      </c>
      <c r="AD57" s="285" t="str">
        <f t="shared" si="14"/>
        <v/>
      </c>
      <c r="AE57" s="286" t="str">
        <f t="shared" si="15"/>
        <v/>
      </c>
      <c r="AF57" s="286" t="str">
        <f t="shared" si="16"/>
        <v/>
      </c>
      <c r="AG57" s="286">
        <f t="shared" si="17"/>
        <v>2439597.4025974027</v>
      </c>
      <c r="AH57" s="288" t="str">
        <f t="shared" si="18"/>
        <v/>
      </c>
    </row>
    <row r="58" spans="2:34">
      <c r="B58" s="219" t="s">
        <v>326</v>
      </c>
      <c r="C58" s="166" t="s">
        <v>210</v>
      </c>
      <c r="D58" s="166" t="s">
        <v>104</v>
      </c>
      <c r="E58" s="166" t="s">
        <v>118</v>
      </c>
      <c r="F58" s="166" t="s">
        <v>292</v>
      </c>
      <c r="G58" s="164">
        <v>56000</v>
      </c>
      <c r="H58" s="167">
        <v>895</v>
      </c>
      <c r="I58" s="165">
        <v>45</v>
      </c>
      <c r="J58" s="168">
        <f>Table156[[#This Row],[Construction Unit Rate ($/m)]]*Table156[[#This Row],[Area size (m2)]]+Table156[[#This Row],[Utility allowance ($56,000/site)]]</f>
        <v>96275</v>
      </c>
      <c r="K58" s="167">
        <v>895</v>
      </c>
      <c r="L58" s="169">
        <v>2046.7532467532469</v>
      </c>
      <c r="M58" s="170">
        <f>Table156[[#This Row],[Land Unit Rate ($/m2)]]*Table156[[#This Row],[Size of land (m2) (*)]]</f>
        <v>1831844.1558441559</v>
      </c>
      <c r="N58" s="117">
        <v>2021</v>
      </c>
      <c r="O58" s="117">
        <f>IFERROR(('General Input Sheet'!$G$38/(VLOOKUP(N58,'General Input Sheet'!$E$38:$G$48,3,FALSE))),1)</f>
        <v>1</v>
      </c>
      <c r="P58" s="200">
        <f t="shared" si="6"/>
        <v>1928119.1558441559</v>
      </c>
      <c r="Q58" s="57" t="str">
        <f t="shared" si="19"/>
        <v/>
      </c>
      <c r="R58" s="57" t="str">
        <f t="shared" si="19"/>
        <v/>
      </c>
      <c r="S58" s="57" t="str">
        <f t="shared" si="19"/>
        <v>y</v>
      </c>
      <c r="T58" s="57" t="str">
        <f t="shared" si="19"/>
        <v/>
      </c>
      <c r="U58" s="100" t="str">
        <f t="shared" si="19"/>
        <v/>
      </c>
      <c r="V58" s="115"/>
      <c r="W58" s="201" t="str">
        <f t="shared" si="8"/>
        <v/>
      </c>
      <c r="X58" s="202" t="str">
        <f t="shared" si="9"/>
        <v/>
      </c>
      <c r="Y58" s="202">
        <f t="shared" si="10"/>
        <v>1</v>
      </c>
      <c r="Z58" s="202" t="str">
        <f t="shared" si="11"/>
        <v/>
      </c>
      <c r="AA58" s="202" t="str">
        <f t="shared" si="12"/>
        <v/>
      </c>
      <c r="AB58" s="61">
        <f t="shared" si="13"/>
        <v>1</v>
      </c>
      <c r="AD58" s="285" t="str">
        <f t="shared" si="14"/>
        <v/>
      </c>
      <c r="AE58" s="286" t="str">
        <f t="shared" si="15"/>
        <v/>
      </c>
      <c r="AF58" s="286">
        <f t="shared" si="16"/>
        <v>1928119.1558441559</v>
      </c>
      <c r="AG58" s="286" t="str">
        <f t="shared" si="17"/>
        <v/>
      </c>
      <c r="AH58" s="288" t="str">
        <f t="shared" si="18"/>
        <v/>
      </c>
    </row>
    <row r="59" spans="2:34">
      <c r="B59" s="219" t="s">
        <v>346</v>
      </c>
      <c r="C59" s="166" t="s">
        <v>211</v>
      </c>
      <c r="D59" s="166" t="s">
        <v>104</v>
      </c>
      <c r="E59" s="166" t="s">
        <v>118</v>
      </c>
      <c r="F59" s="166" t="s">
        <v>293</v>
      </c>
      <c r="G59" s="164">
        <v>56000</v>
      </c>
      <c r="H59" s="167">
        <v>4559</v>
      </c>
      <c r="I59" s="165">
        <v>45</v>
      </c>
      <c r="J59" s="168">
        <f>Table156[[#This Row],[Construction Unit Rate ($/m)]]*Table156[[#This Row],[Area size (m2)]]+Table156[[#This Row],[Utility allowance ($56,000/site)]]</f>
        <v>261155</v>
      </c>
      <c r="K59" s="167">
        <v>4559</v>
      </c>
      <c r="L59" s="169">
        <v>5116.8831168831175</v>
      </c>
      <c r="M59" s="170">
        <f>Table156[[#This Row],[Land Unit Rate ($/m2)]]*Table156[[#This Row],[Size of land (m2) (*)]]</f>
        <v>23327870.129870132</v>
      </c>
      <c r="N59" s="117">
        <v>2021</v>
      </c>
      <c r="O59" s="117">
        <f>IFERROR(('General Input Sheet'!$G$38/(VLOOKUP(N59,'General Input Sheet'!$E$38:$G$48,3,FALSE))),1)</f>
        <v>1</v>
      </c>
      <c r="P59" s="200">
        <f t="shared" si="6"/>
        <v>23589025.129870132</v>
      </c>
      <c r="Q59" s="57" t="str">
        <f t="shared" si="19"/>
        <v/>
      </c>
      <c r="R59" s="57" t="str">
        <f t="shared" si="19"/>
        <v/>
      </c>
      <c r="S59" s="57" t="str">
        <f t="shared" si="19"/>
        <v>y</v>
      </c>
      <c r="T59" s="57" t="str">
        <f t="shared" si="19"/>
        <v/>
      </c>
      <c r="U59" s="100" t="str">
        <f t="shared" si="19"/>
        <v/>
      </c>
      <c r="V59" s="115"/>
      <c r="W59" s="201" t="str">
        <f t="shared" si="8"/>
        <v/>
      </c>
      <c r="X59" s="202" t="str">
        <f t="shared" si="9"/>
        <v/>
      </c>
      <c r="Y59" s="202">
        <f t="shared" si="10"/>
        <v>1</v>
      </c>
      <c r="Z59" s="202" t="str">
        <f t="shared" si="11"/>
        <v/>
      </c>
      <c r="AA59" s="202" t="str">
        <f t="shared" si="12"/>
        <v/>
      </c>
      <c r="AB59" s="61">
        <f t="shared" si="13"/>
        <v>1</v>
      </c>
      <c r="AD59" s="285" t="str">
        <f t="shared" si="14"/>
        <v/>
      </c>
      <c r="AE59" s="286" t="str">
        <f t="shared" si="15"/>
        <v/>
      </c>
      <c r="AF59" s="286">
        <f t="shared" si="16"/>
        <v>23589025.129870132</v>
      </c>
      <c r="AG59" s="286" t="str">
        <f t="shared" si="17"/>
        <v/>
      </c>
      <c r="AH59" s="288" t="str">
        <f t="shared" si="18"/>
        <v/>
      </c>
    </row>
    <row r="60" spans="2:34">
      <c r="B60" s="219" t="s">
        <v>330</v>
      </c>
      <c r="C60" s="166" t="s">
        <v>212</v>
      </c>
      <c r="D60" s="166" t="s">
        <v>103</v>
      </c>
      <c r="E60" s="166" t="s">
        <v>118</v>
      </c>
      <c r="F60" s="166" t="s">
        <v>294</v>
      </c>
      <c r="G60" s="164">
        <v>56000</v>
      </c>
      <c r="H60" s="167">
        <v>900</v>
      </c>
      <c r="I60" s="165">
        <v>45</v>
      </c>
      <c r="J60" s="168">
        <f>Table156[[#This Row],[Construction Unit Rate ($/m)]]*Table156[[#This Row],[Area size (m2)]]+Table156[[#This Row],[Utility allowance ($56,000/site)]]</f>
        <v>96500</v>
      </c>
      <c r="K60" s="167">
        <v>900</v>
      </c>
      <c r="L60" s="169">
        <v>1176.8831168831171</v>
      </c>
      <c r="M60" s="170">
        <f>Table156[[#This Row],[Land Unit Rate ($/m2)]]*Table156[[#This Row],[Size of land (m2) (*)]]</f>
        <v>1059194.8051948054</v>
      </c>
      <c r="N60" s="117">
        <v>2021</v>
      </c>
      <c r="O60" s="117">
        <f>IFERROR(('General Input Sheet'!$G$38/(VLOOKUP(N60,'General Input Sheet'!$E$38:$G$48,3,FALSE))),1)</f>
        <v>1</v>
      </c>
      <c r="P60" s="200">
        <f t="shared" si="6"/>
        <v>1155694.8051948054</v>
      </c>
      <c r="Q60" s="57" t="str">
        <f t="shared" si="19"/>
        <v/>
      </c>
      <c r="R60" s="57" t="str">
        <f t="shared" si="19"/>
        <v/>
      </c>
      <c r="S60" s="57" t="str">
        <f t="shared" si="19"/>
        <v>y</v>
      </c>
      <c r="T60" s="57" t="str">
        <f t="shared" si="19"/>
        <v/>
      </c>
      <c r="U60" s="100" t="str">
        <f t="shared" si="19"/>
        <v/>
      </c>
      <c r="V60" s="115"/>
      <c r="W60" s="201" t="str">
        <f t="shared" si="8"/>
        <v/>
      </c>
      <c r="X60" s="202" t="str">
        <f t="shared" si="9"/>
        <v/>
      </c>
      <c r="Y60" s="202">
        <f t="shared" si="10"/>
        <v>1</v>
      </c>
      <c r="Z60" s="202" t="str">
        <f t="shared" si="11"/>
        <v/>
      </c>
      <c r="AA60" s="202" t="str">
        <f t="shared" si="12"/>
        <v/>
      </c>
      <c r="AB60" s="61">
        <f t="shared" si="13"/>
        <v>1</v>
      </c>
      <c r="AD60" s="285" t="str">
        <f t="shared" si="14"/>
        <v/>
      </c>
      <c r="AE60" s="286" t="str">
        <f t="shared" si="15"/>
        <v/>
      </c>
      <c r="AF60" s="286">
        <f t="shared" si="16"/>
        <v>1155694.8051948054</v>
      </c>
      <c r="AG60" s="286" t="str">
        <f t="shared" si="17"/>
        <v/>
      </c>
      <c r="AH60" s="288" t="str">
        <f t="shared" si="18"/>
        <v/>
      </c>
    </row>
    <row r="61" spans="2:34">
      <c r="B61" s="219" t="s">
        <v>347</v>
      </c>
      <c r="C61" s="166" t="s">
        <v>213</v>
      </c>
      <c r="D61" s="166" t="s">
        <v>104</v>
      </c>
      <c r="E61" s="166" t="s">
        <v>119</v>
      </c>
      <c r="F61" s="166" t="s">
        <v>295</v>
      </c>
      <c r="G61" s="164">
        <v>56000</v>
      </c>
      <c r="H61" s="167">
        <v>2700</v>
      </c>
      <c r="I61" s="165">
        <v>45</v>
      </c>
      <c r="J61" s="168">
        <f>Table156[[#This Row],[Construction Unit Rate ($/m)]]*Table156[[#This Row],[Area size (m2)]]+Table156[[#This Row],[Utility allowance ($56,000/site)]]</f>
        <v>177500</v>
      </c>
      <c r="K61" s="167">
        <v>2700</v>
      </c>
      <c r="L61" s="169">
        <v>1176.8831168831171</v>
      </c>
      <c r="M61" s="170">
        <f>Table156[[#This Row],[Land Unit Rate ($/m2)]]*Table156[[#This Row],[Size of land (m2) (*)]]</f>
        <v>3177584.4155844161</v>
      </c>
      <c r="N61" s="117">
        <v>2021</v>
      </c>
      <c r="O61" s="117">
        <f>IFERROR(('General Input Sheet'!$G$38/(VLOOKUP(N61,'General Input Sheet'!$E$38:$G$48,3,FALSE))),1)</f>
        <v>1</v>
      </c>
      <c r="P61" s="200">
        <f t="shared" si="6"/>
        <v>3355084.4155844161</v>
      </c>
      <c r="Q61" s="57" t="str">
        <f t="shared" si="19"/>
        <v/>
      </c>
      <c r="R61" s="57" t="str">
        <f t="shared" si="19"/>
        <v/>
      </c>
      <c r="S61" s="57" t="str">
        <f t="shared" si="19"/>
        <v/>
      </c>
      <c r="T61" s="57" t="str">
        <f t="shared" si="19"/>
        <v>y</v>
      </c>
      <c r="U61" s="100" t="str">
        <f t="shared" si="19"/>
        <v/>
      </c>
      <c r="V61" s="115"/>
      <c r="W61" s="201" t="str">
        <f t="shared" si="8"/>
        <v/>
      </c>
      <c r="X61" s="202" t="str">
        <f t="shared" si="9"/>
        <v/>
      </c>
      <c r="Y61" s="202" t="str">
        <f t="shared" si="10"/>
        <v/>
      </c>
      <c r="Z61" s="202">
        <f t="shared" si="11"/>
        <v>1</v>
      </c>
      <c r="AA61" s="202" t="str">
        <f t="shared" si="12"/>
        <v/>
      </c>
      <c r="AB61" s="61">
        <f t="shared" si="13"/>
        <v>1</v>
      </c>
      <c r="AD61" s="285" t="str">
        <f t="shared" si="14"/>
        <v/>
      </c>
      <c r="AE61" s="286" t="str">
        <f t="shared" si="15"/>
        <v/>
      </c>
      <c r="AF61" s="286" t="str">
        <f t="shared" si="16"/>
        <v/>
      </c>
      <c r="AG61" s="286">
        <f t="shared" si="17"/>
        <v>3355084.4155844161</v>
      </c>
      <c r="AH61" s="288" t="str">
        <f t="shared" si="18"/>
        <v/>
      </c>
    </row>
    <row r="62" spans="2:34">
      <c r="B62" s="219" t="s">
        <v>106</v>
      </c>
      <c r="C62" s="166" t="s">
        <v>214</v>
      </c>
      <c r="D62" s="166" t="s">
        <v>103</v>
      </c>
      <c r="E62" s="166" t="s">
        <v>118</v>
      </c>
      <c r="F62" s="166" t="s">
        <v>296</v>
      </c>
      <c r="G62" s="164">
        <v>56000</v>
      </c>
      <c r="H62" s="167">
        <v>600</v>
      </c>
      <c r="I62" s="165">
        <v>45</v>
      </c>
      <c r="J62" s="168">
        <f>Table156[[#This Row],[Construction Unit Rate ($/m)]]*Table156[[#This Row],[Area size (m2)]]+Table156[[#This Row],[Utility allowance ($56,000/site)]]</f>
        <v>83000</v>
      </c>
      <c r="K62" s="167">
        <v>600</v>
      </c>
      <c r="L62" s="169">
        <v>2558.4415584415588</v>
      </c>
      <c r="M62" s="170">
        <f>Table156[[#This Row],[Land Unit Rate ($/m2)]]*Table156[[#This Row],[Size of land (m2) (*)]]</f>
        <v>1535064.9350649354</v>
      </c>
      <c r="N62" s="117">
        <v>2021</v>
      </c>
      <c r="O62" s="117">
        <f>IFERROR(('General Input Sheet'!$G$38/(VLOOKUP(N62,'General Input Sheet'!$E$38:$G$48,3,FALSE))),1)</f>
        <v>1</v>
      </c>
      <c r="P62" s="200">
        <f t="shared" si="6"/>
        <v>1618064.9350649354</v>
      </c>
      <c r="Q62" s="57" t="str">
        <f t="shared" si="19"/>
        <v/>
      </c>
      <c r="R62" s="57" t="str">
        <f t="shared" si="19"/>
        <v/>
      </c>
      <c r="S62" s="57" t="str">
        <f t="shared" si="19"/>
        <v>y</v>
      </c>
      <c r="T62" s="57" t="str">
        <f t="shared" si="19"/>
        <v/>
      </c>
      <c r="U62" s="100" t="str">
        <f t="shared" si="19"/>
        <v/>
      </c>
      <c r="V62" s="115"/>
      <c r="W62" s="201" t="str">
        <f t="shared" si="8"/>
        <v/>
      </c>
      <c r="X62" s="202" t="str">
        <f t="shared" si="9"/>
        <v/>
      </c>
      <c r="Y62" s="202">
        <f t="shared" si="10"/>
        <v>1</v>
      </c>
      <c r="Z62" s="202" t="str">
        <f t="shared" si="11"/>
        <v/>
      </c>
      <c r="AA62" s="202" t="str">
        <f t="shared" si="12"/>
        <v/>
      </c>
      <c r="AB62" s="61">
        <f t="shared" si="13"/>
        <v>1</v>
      </c>
      <c r="AD62" s="285" t="str">
        <f t="shared" si="14"/>
        <v/>
      </c>
      <c r="AE62" s="286" t="str">
        <f t="shared" si="15"/>
        <v/>
      </c>
      <c r="AF62" s="286">
        <f t="shared" si="16"/>
        <v>1618064.9350649354</v>
      </c>
      <c r="AG62" s="286" t="str">
        <f t="shared" si="17"/>
        <v/>
      </c>
      <c r="AH62" s="288" t="str">
        <f t="shared" si="18"/>
        <v/>
      </c>
    </row>
    <row r="63" spans="2:34">
      <c r="B63" s="219" t="s">
        <v>106</v>
      </c>
      <c r="C63" s="166" t="s">
        <v>215</v>
      </c>
      <c r="D63" s="166" t="s">
        <v>104</v>
      </c>
      <c r="E63" s="166" t="s">
        <v>118</v>
      </c>
      <c r="F63" s="166" t="s">
        <v>297</v>
      </c>
      <c r="G63" s="164">
        <v>56000</v>
      </c>
      <c r="H63" s="167">
        <v>400</v>
      </c>
      <c r="I63" s="165">
        <v>45</v>
      </c>
      <c r="J63" s="168">
        <f>Table156[[#This Row],[Construction Unit Rate ($/m)]]*Table156[[#This Row],[Area size (m2)]]+Table156[[#This Row],[Utility allowance ($56,000/site)]]</f>
        <v>74000</v>
      </c>
      <c r="K63" s="167">
        <v>400</v>
      </c>
      <c r="L63" s="169">
        <v>2558.4415584415588</v>
      </c>
      <c r="M63" s="170">
        <f>Table156[[#This Row],[Land Unit Rate ($/m2)]]*Table156[[#This Row],[Size of land (m2) (*)]]</f>
        <v>1023376.6233766235</v>
      </c>
      <c r="N63" s="117">
        <v>2021</v>
      </c>
      <c r="O63" s="117">
        <f>IFERROR(('General Input Sheet'!$G$38/(VLOOKUP(N63,'General Input Sheet'!$E$38:$G$48,3,FALSE))),1)</f>
        <v>1</v>
      </c>
      <c r="P63" s="200">
        <f t="shared" si="6"/>
        <v>1097376.6233766235</v>
      </c>
      <c r="Q63" s="57" t="str">
        <f t="shared" si="19"/>
        <v/>
      </c>
      <c r="R63" s="57" t="str">
        <f t="shared" si="19"/>
        <v/>
      </c>
      <c r="S63" s="57" t="str">
        <f t="shared" si="19"/>
        <v>y</v>
      </c>
      <c r="T63" s="57" t="str">
        <f t="shared" si="19"/>
        <v/>
      </c>
      <c r="U63" s="100" t="str">
        <f t="shared" si="19"/>
        <v/>
      </c>
      <c r="V63" s="115"/>
      <c r="W63" s="201" t="str">
        <f t="shared" si="8"/>
        <v/>
      </c>
      <c r="X63" s="202" t="str">
        <f t="shared" si="9"/>
        <v/>
      </c>
      <c r="Y63" s="202">
        <f t="shared" si="10"/>
        <v>1</v>
      </c>
      <c r="Z63" s="202" t="str">
        <f t="shared" si="11"/>
        <v/>
      </c>
      <c r="AA63" s="202" t="str">
        <f t="shared" si="12"/>
        <v/>
      </c>
      <c r="AB63" s="61">
        <f t="shared" si="13"/>
        <v>1</v>
      </c>
      <c r="AD63" s="285" t="str">
        <f t="shared" si="14"/>
        <v/>
      </c>
      <c r="AE63" s="286" t="str">
        <f t="shared" si="15"/>
        <v/>
      </c>
      <c r="AF63" s="286">
        <f t="shared" si="16"/>
        <v>1097376.6233766235</v>
      </c>
      <c r="AG63" s="286" t="str">
        <f t="shared" si="17"/>
        <v/>
      </c>
      <c r="AH63" s="288" t="str">
        <f t="shared" si="18"/>
        <v/>
      </c>
    </row>
    <row r="64" spans="2:34">
      <c r="B64" s="219" t="s">
        <v>139</v>
      </c>
      <c r="C64" s="166" t="s">
        <v>216</v>
      </c>
      <c r="D64" s="166" t="s">
        <v>146</v>
      </c>
      <c r="E64" s="166" t="s">
        <v>120</v>
      </c>
      <c r="F64" s="166" t="s">
        <v>298</v>
      </c>
      <c r="G64" s="164">
        <v>56000</v>
      </c>
      <c r="H64" s="167">
        <v>1700</v>
      </c>
      <c r="I64" s="165">
        <v>45</v>
      </c>
      <c r="J64" s="168">
        <f>Table156[[#This Row],[Construction Unit Rate ($/m)]]*Table156[[#This Row],[Area size (m2)]]+Table156[[#This Row],[Utility allowance ($56,000/site)]]</f>
        <v>132500</v>
      </c>
      <c r="K64" s="167">
        <v>1700</v>
      </c>
      <c r="L64" s="169">
        <v>1535.0649350649353</v>
      </c>
      <c r="M64" s="170">
        <f>Table156[[#This Row],[Land Unit Rate ($/m2)]]*Table156[[#This Row],[Size of land (m2) (*)]]</f>
        <v>2609610.3896103902</v>
      </c>
      <c r="N64" s="117">
        <v>2021</v>
      </c>
      <c r="O64" s="117">
        <f>IFERROR(('General Input Sheet'!$G$38/(VLOOKUP(N64,'General Input Sheet'!$E$38:$G$48,3,FALSE))),1)</f>
        <v>1</v>
      </c>
      <c r="P64" s="200">
        <f t="shared" si="6"/>
        <v>2742110.3896103902</v>
      </c>
      <c r="Q64" s="57" t="str">
        <f t="shared" si="19"/>
        <v/>
      </c>
      <c r="R64" s="57" t="str">
        <f t="shared" si="19"/>
        <v/>
      </c>
      <c r="S64" s="57" t="str">
        <f t="shared" si="19"/>
        <v/>
      </c>
      <c r="T64" s="57" t="str">
        <f t="shared" si="19"/>
        <v/>
      </c>
      <c r="U64" s="100" t="str">
        <f t="shared" si="19"/>
        <v>y</v>
      </c>
      <c r="V64" s="115"/>
      <c r="W64" s="201" t="str">
        <f t="shared" si="8"/>
        <v/>
      </c>
      <c r="X64" s="202" t="str">
        <f t="shared" si="9"/>
        <v/>
      </c>
      <c r="Y64" s="202" t="str">
        <f t="shared" si="10"/>
        <v/>
      </c>
      <c r="Z64" s="202" t="str">
        <f t="shared" si="11"/>
        <v/>
      </c>
      <c r="AA64" s="202">
        <f t="shared" si="12"/>
        <v>1</v>
      </c>
      <c r="AB64" s="61">
        <f t="shared" si="13"/>
        <v>1</v>
      </c>
      <c r="AD64" s="285" t="str">
        <f t="shared" si="14"/>
        <v/>
      </c>
      <c r="AE64" s="286" t="str">
        <f t="shared" si="15"/>
        <v/>
      </c>
      <c r="AF64" s="286" t="str">
        <f t="shared" si="16"/>
        <v/>
      </c>
      <c r="AG64" s="286" t="str">
        <f t="shared" si="17"/>
        <v/>
      </c>
      <c r="AH64" s="288">
        <f t="shared" si="18"/>
        <v>2742110.3896103902</v>
      </c>
    </row>
    <row r="65" spans="2:34">
      <c r="B65" s="219" t="s">
        <v>328</v>
      </c>
      <c r="C65" s="166" t="s">
        <v>217</v>
      </c>
      <c r="D65" s="166" t="s">
        <v>104</v>
      </c>
      <c r="E65" s="166" t="s">
        <v>117</v>
      </c>
      <c r="F65" s="166" t="s">
        <v>299</v>
      </c>
      <c r="G65" s="164">
        <v>56000</v>
      </c>
      <c r="H65" s="167">
        <v>2400</v>
      </c>
      <c r="I65" s="165">
        <v>45</v>
      </c>
      <c r="J65" s="168">
        <f>Table156[[#This Row],[Construction Unit Rate ($/m)]]*Table156[[#This Row],[Area size (m2)]]+Table156[[#This Row],[Utility allowance ($56,000/site)]]</f>
        <v>164000</v>
      </c>
      <c r="K65" s="167">
        <v>2400</v>
      </c>
      <c r="L65" s="169">
        <v>1535.0649350649353</v>
      </c>
      <c r="M65" s="170">
        <f>Table156[[#This Row],[Land Unit Rate ($/m2)]]*Table156[[#This Row],[Size of land (m2) (*)]]</f>
        <v>3684155.8441558448</v>
      </c>
      <c r="N65" s="117">
        <v>2021</v>
      </c>
      <c r="O65" s="117">
        <f>IFERROR(('General Input Sheet'!$G$38/(VLOOKUP(N65,'General Input Sheet'!$E$38:$G$48,3,FALSE))),1)</f>
        <v>1</v>
      </c>
      <c r="P65" s="200">
        <f t="shared" si="6"/>
        <v>3848155.8441558448</v>
      </c>
      <c r="Q65" s="57" t="str">
        <f t="shared" si="19"/>
        <v/>
      </c>
      <c r="R65" s="57" t="str">
        <f t="shared" si="19"/>
        <v>y</v>
      </c>
      <c r="S65" s="57" t="str">
        <f t="shared" si="19"/>
        <v/>
      </c>
      <c r="T65" s="57" t="str">
        <f t="shared" si="19"/>
        <v/>
      </c>
      <c r="U65" s="100" t="str">
        <f t="shared" si="19"/>
        <v/>
      </c>
      <c r="V65" s="115"/>
      <c r="W65" s="201" t="str">
        <f t="shared" si="8"/>
        <v/>
      </c>
      <c r="X65" s="202">
        <f t="shared" si="9"/>
        <v>1</v>
      </c>
      <c r="Y65" s="202" t="str">
        <f t="shared" si="10"/>
        <v/>
      </c>
      <c r="Z65" s="202" t="str">
        <f t="shared" si="11"/>
        <v/>
      </c>
      <c r="AA65" s="202" t="str">
        <f t="shared" si="12"/>
        <v/>
      </c>
      <c r="AB65" s="61">
        <f t="shared" si="13"/>
        <v>1</v>
      </c>
      <c r="AD65" s="285" t="str">
        <f t="shared" si="14"/>
        <v/>
      </c>
      <c r="AE65" s="286">
        <f t="shared" si="15"/>
        <v>3848155.8441558448</v>
      </c>
      <c r="AF65" s="286" t="str">
        <f t="shared" si="16"/>
        <v/>
      </c>
      <c r="AG65" s="286" t="str">
        <f t="shared" si="17"/>
        <v/>
      </c>
      <c r="AH65" s="288" t="str">
        <f t="shared" si="18"/>
        <v/>
      </c>
    </row>
    <row r="66" spans="2:34">
      <c r="B66" s="219" t="s">
        <v>348</v>
      </c>
      <c r="C66" s="166" t="s">
        <v>218</v>
      </c>
      <c r="D66" s="166" t="s">
        <v>104</v>
      </c>
      <c r="E66" s="166" t="s">
        <v>117</v>
      </c>
      <c r="F66" s="166" t="s">
        <v>300</v>
      </c>
      <c r="G66" s="164">
        <v>56000</v>
      </c>
      <c r="H66" s="167">
        <v>6410</v>
      </c>
      <c r="I66" s="165">
        <v>45</v>
      </c>
      <c r="J66" s="168">
        <f>Table156[[#This Row],[Construction Unit Rate ($/m)]]*Table156[[#This Row],[Area size (m2)]]+Table156[[#This Row],[Utility allowance ($56,000/site)]]</f>
        <v>344450</v>
      </c>
      <c r="K66" s="167">
        <v>6410</v>
      </c>
      <c r="L66" s="169">
        <v>2558.4415584415588</v>
      </c>
      <c r="M66" s="170">
        <f>Table156[[#This Row],[Land Unit Rate ($/m2)]]*Table156[[#This Row],[Size of land (m2) (*)]]</f>
        <v>16399610.389610391</v>
      </c>
      <c r="N66" s="117">
        <v>2021</v>
      </c>
      <c r="O66" s="117">
        <f>IFERROR(('General Input Sheet'!$G$38/(VLOOKUP(N66,'General Input Sheet'!$E$38:$G$48,3,FALSE))),1)</f>
        <v>1</v>
      </c>
      <c r="P66" s="200">
        <f t="shared" si="6"/>
        <v>16744060.389610391</v>
      </c>
      <c r="Q66" s="57" t="str">
        <f t="shared" si="19"/>
        <v/>
      </c>
      <c r="R66" s="57" t="str">
        <f t="shared" si="19"/>
        <v>y</v>
      </c>
      <c r="S66" s="57" t="str">
        <f t="shared" si="19"/>
        <v/>
      </c>
      <c r="T66" s="57" t="str">
        <f t="shared" si="19"/>
        <v/>
      </c>
      <c r="U66" s="100" t="str">
        <f t="shared" si="19"/>
        <v/>
      </c>
      <c r="V66" s="115"/>
      <c r="W66" s="201" t="str">
        <f t="shared" si="8"/>
        <v/>
      </c>
      <c r="X66" s="202">
        <f t="shared" si="9"/>
        <v>1</v>
      </c>
      <c r="Y66" s="202" t="str">
        <f t="shared" si="10"/>
        <v/>
      </c>
      <c r="Z66" s="202" t="str">
        <f t="shared" si="11"/>
        <v/>
      </c>
      <c r="AA66" s="202" t="str">
        <f t="shared" si="12"/>
        <v/>
      </c>
      <c r="AB66" s="61">
        <f t="shared" si="13"/>
        <v>1</v>
      </c>
      <c r="AD66" s="285" t="str">
        <f t="shared" si="14"/>
        <v/>
      </c>
      <c r="AE66" s="286">
        <f t="shared" si="15"/>
        <v>16744060.389610391</v>
      </c>
      <c r="AF66" s="286" t="str">
        <f t="shared" si="16"/>
        <v/>
      </c>
      <c r="AG66" s="286" t="str">
        <f t="shared" si="17"/>
        <v/>
      </c>
      <c r="AH66" s="288" t="str">
        <f t="shared" si="18"/>
        <v/>
      </c>
    </row>
    <row r="67" spans="2:34">
      <c r="B67" s="219" t="s">
        <v>340</v>
      </c>
      <c r="C67" s="166" t="s">
        <v>219</v>
      </c>
      <c r="D67" s="166" t="s">
        <v>146</v>
      </c>
      <c r="E67" s="166" t="s">
        <v>118</v>
      </c>
      <c r="F67" s="166" t="s">
        <v>301</v>
      </c>
      <c r="G67" s="164">
        <v>56000</v>
      </c>
      <c r="H67" s="167">
        <v>4000</v>
      </c>
      <c r="I67" s="165">
        <v>45</v>
      </c>
      <c r="J67" s="168">
        <f>Table156[[#This Row],[Construction Unit Rate ($/m)]]*Table156[[#This Row],[Area size (m2)]]+Table156[[#This Row],[Utility allowance ($56,000/site)]]</f>
        <v>236000</v>
      </c>
      <c r="K67" s="167">
        <v>4000</v>
      </c>
      <c r="L67" s="169">
        <v>2046.7532467532469</v>
      </c>
      <c r="M67" s="170">
        <f>Table156[[#This Row],[Land Unit Rate ($/m2)]]*Table156[[#This Row],[Size of land (m2) (*)]]</f>
        <v>8187012.987012988</v>
      </c>
      <c r="N67" s="117">
        <v>2021</v>
      </c>
      <c r="O67" s="117">
        <f>IFERROR(('General Input Sheet'!$G$38/(VLOOKUP(N67,'General Input Sheet'!$E$38:$G$48,3,FALSE))),1)</f>
        <v>1</v>
      </c>
      <c r="P67" s="200">
        <f t="shared" si="6"/>
        <v>8423012.987012988</v>
      </c>
      <c r="Q67" s="57" t="str">
        <f t="shared" si="19"/>
        <v/>
      </c>
      <c r="R67" s="57" t="str">
        <f t="shared" si="19"/>
        <v/>
      </c>
      <c r="S67" s="57" t="str">
        <f t="shared" si="19"/>
        <v>y</v>
      </c>
      <c r="T67" s="57" t="str">
        <f t="shared" si="19"/>
        <v/>
      </c>
      <c r="U67" s="100" t="str">
        <f t="shared" si="19"/>
        <v/>
      </c>
      <c r="V67" s="115"/>
      <c r="W67" s="201" t="str">
        <f t="shared" si="8"/>
        <v/>
      </c>
      <c r="X67" s="202" t="str">
        <f t="shared" si="9"/>
        <v/>
      </c>
      <c r="Y67" s="202">
        <f t="shared" si="10"/>
        <v>1</v>
      </c>
      <c r="Z67" s="202" t="str">
        <f t="shared" si="11"/>
        <v/>
      </c>
      <c r="AA67" s="202" t="str">
        <f t="shared" si="12"/>
        <v/>
      </c>
      <c r="AB67" s="61">
        <f t="shared" si="13"/>
        <v>1</v>
      </c>
      <c r="AD67" s="285" t="str">
        <f t="shared" si="14"/>
        <v/>
      </c>
      <c r="AE67" s="286" t="str">
        <f t="shared" si="15"/>
        <v/>
      </c>
      <c r="AF67" s="286">
        <f t="shared" si="16"/>
        <v>8423012.987012988</v>
      </c>
      <c r="AG67" s="286" t="str">
        <f t="shared" si="17"/>
        <v/>
      </c>
      <c r="AH67" s="288" t="str">
        <f t="shared" si="18"/>
        <v/>
      </c>
    </row>
    <row r="68" spans="2:34">
      <c r="B68" s="219" t="s">
        <v>340</v>
      </c>
      <c r="C68" s="166" t="s">
        <v>220</v>
      </c>
      <c r="D68" s="166" t="s">
        <v>146</v>
      </c>
      <c r="E68" s="166" t="s">
        <v>118</v>
      </c>
      <c r="F68" s="166" t="s">
        <v>302</v>
      </c>
      <c r="G68" s="164">
        <v>56000</v>
      </c>
      <c r="H68" s="167">
        <v>4000</v>
      </c>
      <c r="I68" s="165">
        <v>45</v>
      </c>
      <c r="J68" s="168">
        <f>Table156[[#This Row],[Construction Unit Rate ($/m)]]*Table156[[#This Row],[Area size (m2)]]+Table156[[#This Row],[Utility allowance ($56,000/site)]]</f>
        <v>236000</v>
      </c>
      <c r="K68" s="167">
        <v>4000</v>
      </c>
      <c r="L68" s="169">
        <v>2046.7532467532469</v>
      </c>
      <c r="M68" s="170">
        <f>Table156[[#This Row],[Land Unit Rate ($/m2)]]*Table156[[#This Row],[Size of land (m2) (*)]]</f>
        <v>8187012.987012988</v>
      </c>
      <c r="N68" s="117">
        <v>2021</v>
      </c>
      <c r="O68" s="117">
        <f>IFERROR(('General Input Sheet'!$G$38/(VLOOKUP(N68,'General Input Sheet'!$E$38:$G$48,3,FALSE))),1)</f>
        <v>1</v>
      </c>
      <c r="P68" s="200">
        <f t="shared" si="6"/>
        <v>8423012.987012988</v>
      </c>
      <c r="Q68" s="57" t="str">
        <f t="shared" si="19"/>
        <v/>
      </c>
      <c r="R68" s="57" t="str">
        <f t="shared" si="19"/>
        <v/>
      </c>
      <c r="S68" s="57" t="str">
        <f t="shared" si="19"/>
        <v>y</v>
      </c>
      <c r="T68" s="57" t="str">
        <f t="shared" si="19"/>
        <v/>
      </c>
      <c r="U68" s="100" t="str">
        <f t="shared" si="19"/>
        <v/>
      </c>
      <c r="V68" s="115"/>
      <c r="W68" s="201" t="str">
        <f t="shared" si="8"/>
        <v/>
      </c>
      <c r="X68" s="202" t="str">
        <f t="shared" si="9"/>
        <v/>
      </c>
      <c r="Y68" s="202">
        <f t="shared" si="10"/>
        <v>1</v>
      </c>
      <c r="Z68" s="202" t="str">
        <f t="shared" si="11"/>
        <v/>
      </c>
      <c r="AA68" s="202" t="str">
        <f t="shared" si="12"/>
        <v/>
      </c>
      <c r="AB68" s="61">
        <f t="shared" si="13"/>
        <v>1</v>
      </c>
      <c r="AD68" s="285" t="str">
        <f t="shared" si="14"/>
        <v/>
      </c>
      <c r="AE68" s="286" t="str">
        <f t="shared" si="15"/>
        <v/>
      </c>
      <c r="AF68" s="286">
        <f t="shared" si="16"/>
        <v>8423012.987012988</v>
      </c>
      <c r="AG68" s="286" t="str">
        <f t="shared" si="17"/>
        <v/>
      </c>
      <c r="AH68" s="288" t="str">
        <f t="shared" si="18"/>
        <v/>
      </c>
    </row>
    <row r="69" spans="2:34">
      <c r="B69" s="219" t="s">
        <v>349</v>
      </c>
      <c r="C69" s="166" t="s">
        <v>221</v>
      </c>
      <c r="D69" s="166" t="s">
        <v>104</v>
      </c>
      <c r="E69" s="166" t="s">
        <v>120</v>
      </c>
      <c r="F69" s="166" t="s">
        <v>303</v>
      </c>
      <c r="G69" s="164">
        <v>56000</v>
      </c>
      <c r="H69" s="167">
        <v>1000</v>
      </c>
      <c r="I69" s="165">
        <v>45</v>
      </c>
      <c r="J69" s="168">
        <f>Table156[[#This Row],[Construction Unit Rate ($/m)]]*Table156[[#This Row],[Area size (m2)]]+Table156[[#This Row],[Utility allowance ($56,000/site)]]</f>
        <v>101000</v>
      </c>
      <c r="K69" s="167">
        <v>1000</v>
      </c>
      <c r="L69" s="169">
        <v>1535.0649350649353</v>
      </c>
      <c r="M69" s="170">
        <f>Table156[[#This Row],[Land Unit Rate ($/m2)]]*Table156[[#This Row],[Size of land (m2) (*)]]</f>
        <v>1535064.9350649354</v>
      </c>
      <c r="N69" s="117">
        <v>2021</v>
      </c>
      <c r="O69" s="117">
        <f>IFERROR(('General Input Sheet'!$G$38/(VLOOKUP(N69,'General Input Sheet'!$E$38:$G$48,3,FALSE))),1)</f>
        <v>1</v>
      </c>
      <c r="P69" s="200">
        <f t="shared" si="6"/>
        <v>1636064.9350649354</v>
      </c>
      <c r="Q69" s="57" t="str">
        <f t="shared" si="19"/>
        <v/>
      </c>
      <c r="R69" s="57" t="str">
        <f t="shared" si="19"/>
        <v/>
      </c>
      <c r="S69" s="57" t="str">
        <f t="shared" si="19"/>
        <v/>
      </c>
      <c r="T69" s="57" t="str">
        <f t="shared" si="19"/>
        <v/>
      </c>
      <c r="U69" s="100" t="str">
        <f t="shared" si="19"/>
        <v>y</v>
      </c>
      <c r="V69" s="115"/>
      <c r="W69" s="201" t="str">
        <f t="shared" si="8"/>
        <v/>
      </c>
      <c r="X69" s="202" t="str">
        <f t="shared" si="9"/>
        <v/>
      </c>
      <c r="Y69" s="202" t="str">
        <f t="shared" si="10"/>
        <v/>
      </c>
      <c r="Z69" s="202" t="str">
        <f t="shared" si="11"/>
        <v/>
      </c>
      <c r="AA69" s="202">
        <f t="shared" si="12"/>
        <v>1</v>
      </c>
      <c r="AB69" s="61">
        <f t="shared" si="13"/>
        <v>1</v>
      </c>
      <c r="AD69" s="285" t="str">
        <f t="shared" si="14"/>
        <v/>
      </c>
      <c r="AE69" s="286" t="str">
        <f t="shared" si="15"/>
        <v/>
      </c>
      <c r="AF69" s="286" t="str">
        <f t="shared" si="16"/>
        <v/>
      </c>
      <c r="AG69" s="286" t="str">
        <f t="shared" si="17"/>
        <v/>
      </c>
      <c r="AH69" s="288">
        <f t="shared" si="18"/>
        <v>1636064.9350649354</v>
      </c>
    </row>
    <row r="70" spans="2:34">
      <c r="B70" s="219" t="s">
        <v>346</v>
      </c>
      <c r="C70" s="166" t="s">
        <v>222</v>
      </c>
      <c r="D70" s="166" t="s">
        <v>104</v>
      </c>
      <c r="E70" s="166" t="s">
        <v>118</v>
      </c>
      <c r="F70" s="166" t="s">
        <v>304</v>
      </c>
      <c r="G70" s="164">
        <v>56000</v>
      </c>
      <c r="H70" s="167">
        <v>1100</v>
      </c>
      <c r="I70" s="165">
        <v>45</v>
      </c>
      <c r="J70" s="168">
        <f>Table156[[#This Row],[Construction Unit Rate ($/m)]]*Table156[[#This Row],[Area size (m2)]]+Table156[[#This Row],[Utility allowance ($56,000/site)]]</f>
        <v>105500</v>
      </c>
      <c r="K70" s="167">
        <v>1100</v>
      </c>
      <c r="L70" s="169">
        <v>5116.8831168831175</v>
      </c>
      <c r="M70" s="170">
        <f>Table156[[#This Row],[Land Unit Rate ($/m2)]]*Table156[[#This Row],[Size of land (m2) (*)]]</f>
        <v>5628571.4285714291</v>
      </c>
      <c r="N70" s="117">
        <v>2021</v>
      </c>
      <c r="O70" s="117">
        <f>IFERROR(('General Input Sheet'!$G$38/(VLOOKUP(N70,'General Input Sheet'!$E$38:$G$48,3,FALSE))),1)</f>
        <v>1</v>
      </c>
      <c r="P70" s="200">
        <f t="shared" si="6"/>
        <v>5734071.4285714291</v>
      </c>
      <c r="Q70" s="57" t="str">
        <f t="shared" si="19"/>
        <v/>
      </c>
      <c r="R70" s="57" t="str">
        <f t="shared" si="19"/>
        <v/>
      </c>
      <c r="S70" s="57" t="str">
        <f t="shared" si="19"/>
        <v>y</v>
      </c>
      <c r="T70" s="57" t="str">
        <f t="shared" si="19"/>
        <v/>
      </c>
      <c r="U70" s="100" t="str">
        <f t="shared" si="19"/>
        <v/>
      </c>
      <c r="V70" s="115"/>
      <c r="W70" s="201" t="str">
        <f t="shared" si="8"/>
        <v/>
      </c>
      <c r="X70" s="202" t="str">
        <f t="shared" si="9"/>
        <v/>
      </c>
      <c r="Y70" s="202">
        <f t="shared" si="10"/>
        <v>1</v>
      </c>
      <c r="Z70" s="202" t="str">
        <f t="shared" si="11"/>
        <v/>
      </c>
      <c r="AA70" s="202" t="str">
        <f t="shared" si="12"/>
        <v/>
      </c>
      <c r="AB70" s="61">
        <f t="shared" si="13"/>
        <v>1</v>
      </c>
      <c r="AD70" s="285" t="str">
        <f t="shared" si="14"/>
        <v/>
      </c>
      <c r="AE70" s="286" t="str">
        <f t="shared" si="15"/>
        <v/>
      </c>
      <c r="AF70" s="286">
        <f t="shared" si="16"/>
        <v>5734071.4285714291</v>
      </c>
      <c r="AG70" s="286" t="str">
        <f t="shared" si="17"/>
        <v/>
      </c>
      <c r="AH70" s="288" t="str">
        <f t="shared" si="18"/>
        <v/>
      </c>
    </row>
    <row r="71" spans="2:34">
      <c r="B71" s="219" t="s">
        <v>346</v>
      </c>
      <c r="C71" s="166" t="s">
        <v>223</v>
      </c>
      <c r="D71" s="166" t="s">
        <v>103</v>
      </c>
      <c r="E71" s="166" t="s">
        <v>118</v>
      </c>
      <c r="F71" s="166" t="s">
        <v>305</v>
      </c>
      <c r="G71" s="164">
        <v>56000</v>
      </c>
      <c r="H71" s="167">
        <v>1100</v>
      </c>
      <c r="I71" s="165">
        <v>45</v>
      </c>
      <c r="J71" s="168">
        <f>Table156[[#This Row],[Construction Unit Rate ($/m)]]*Table156[[#This Row],[Area size (m2)]]+Table156[[#This Row],[Utility allowance ($56,000/site)]]</f>
        <v>105500</v>
      </c>
      <c r="K71" s="167">
        <v>1100</v>
      </c>
      <c r="L71" s="169">
        <v>5116.8831168831175</v>
      </c>
      <c r="M71" s="170">
        <f>Table156[[#This Row],[Land Unit Rate ($/m2)]]*Table156[[#This Row],[Size of land (m2) (*)]]</f>
        <v>5628571.4285714291</v>
      </c>
      <c r="N71" s="117">
        <v>2021</v>
      </c>
      <c r="O71" s="117">
        <f>IFERROR(('General Input Sheet'!$G$38/(VLOOKUP(N71,'General Input Sheet'!$E$38:$G$48,3,FALSE))),1)</f>
        <v>1</v>
      </c>
      <c r="P71" s="200">
        <f t="shared" si="6"/>
        <v>5734071.4285714291</v>
      </c>
      <c r="Q71" s="57" t="str">
        <f t="shared" si="19"/>
        <v/>
      </c>
      <c r="R71" s="57" t="str">
        <f t="shared" si="19"/>
        <v/>
      </c>
      <c r="S71" s="57" t="str">
        <f t="shared" si="19"/>
        <v>y</v>
      </c>
      <c r="T71" s="57" t="str">
        <f t="shared" si="19"/>
        <v/>
      </c>
      <c r="U71" s="100" t="str">
        <f t="shared" si="19"/>
        <v/>
      </c>
      <c r="V71" s="115"/>
      <c r="W71" s="201" t="str">
        <f t="shared" si="8"/>
        <v/>
      </c>
      <c r="X71" s="202" t="str">
        <f t="shared" si="9"/>
        <v/>
      </c>
      <c r="Y71" s="202">
        <f t="shared" si="10"/>
        <v>1</v>
      </c>
      <c r="Z71" s="202" t="str">
        <f t="shared" si="11"/>
        <v/>
      </c>
      <c r="AA71" s="202" t="str">
        <f t="shared" si="12"/>
        <v/>
      </c>
      <c r="AB71" s="61">
        <f t="shared" si="13"/>
        <v>1</v>
      </c>
      <c r="AD71" s="285" t="str">
        <f t="shared" si="14"/>
        <v/>
      </c>
      <c r="AE71" s="286" t="str">
        <f t="shared" si="15"/>
        <v/>
      </c>
      <c r="AF71" s="286">
        <f t="shared" si="16"/>
        <v>5734071.4285714291</v>
      </c>
      <c r="AG71" s="286" t="str">
        <f t="shared" si="17"/>
        <v/>
      </c>
      <c r="AH71" s="288" t="str">
        <f t="shared" si="18"/>
        <v/>
      </c>
    </row>
    <row r="72" spans="2:34">
      <c r="B72" s="219" t="s">
        <v>149</v>
      </c>
      <c r="C72" s="166" t="s">
        <v>224</v>
      </c>
      <c r="D72" s="166" t="s">
        <v>104</v>
      </c>
      <c r="E72" s="166" t="s">
        <v>120</v>
      </c>
      <c r="F72" s="166" t="s">
        <v>306</v>
      </c>
      <c r="G72" s="164">
        <v>56000</v>
      </c>
      <c r="H72" s="167">
        <v>1700</v>
      </c>
      <c r="I72" s="165">
        <v>45</v>
      </c>
      <c r="J72" s="168">
        <f>Table156[[#This Row],[Construction Unit Rate ($/m)]]*Table156[[#This Row],[Area size (m2)]]+Table156[[#This Row],[Utility allowance ($56,000/site)]]</f>
        <v>132500</v>
      </c>
      <c r="K72" s="167">
        <v>1700</v>
      </c>
      <c r="L72" s="169">
        <v>2558.4415584415588</v>
      </c>
      <c r="M72" s="170">
        <f>Table156[[#This Row],[Land Unit Rate ($/m2)]]*Table156[[#This Row],[Size of land (m2) (*)]]</f>
        <v>4349350.6493506497</v>
      </c>
      <c r="N72" s="117">
        <v>2021</v>
      </c>
      <c r="O72" s="117">
        <f>IFERROR(('General Input Sheet'!$G$38/(VLOOKUP(N72,'General Input Sheet'!$E$38:$G$48,3,FALSE))),1)</f>
        <v>1</v>
      </c>
      <c r="P72" s="200">
        <f t="shared" si="6"/>
        <v>4481850.6493506497</v>
      </c>
      <c r="Q72" s="57" t="str">
        <f t="shared" si="19"/>
        <v/>
      </c>
      <c r="R72" s="57" t="str">
        <f t="shared" si="19"/>
        <v/>
      </c>
      <c r="S72" s="57" t="str">
        <f t="shared" si="19"/>
        <v/>
      </c>
      <c r="T72" s="57" t="str">
        <f t="shared" si="19"/>
        <v/>
      </c>
      <c r="U72" s="100" t="str">
        <f t="shared" si="19"/>
        <v>y</v>
      </c>
      <c r="V72" s="115"/>
      <c r="W72" s="201" t="str">
        <f t="shared" si="8"/>
        <v/>
      </c>
      <c r="X72" s="202" t="str">
        <f t="shared" si="9"/>
        <v/>
      </c>
      <c r="Y72" s="202" t="str">
        <f t="shared" si="10"/>
        <v/>
      </c>
      <c r="Z72" s="202" t="str">
        <f t="shared" si="11"/>
        <v/>
      </c>
      <c r="AA72" s="202">
        <f t="shared" si="12"/>
        <v>1</v>
      </c>
      <c r="AB72" s="61">
        <f t="shared" si="13"/>
        <v>1</v>
      </c>
      <c r="AD72" s="285" t="str">
        <f t="shared" si="14"/>
        <v/>
      </c>
      <c r="AE72" s="286" t="str">
        <f t="shared" si="15"/>
        <v/>
      </c>
      <c r="AF72" s="286" t="str">
        <f t="shared" si="16"/>
        <v/>
      </c>
      <c r="AG72" s="286" t="str">
        <f t="shared" si="17"/>
        <v/>
      </c>
      <c r="AH72" s="288">
        <f t="shared" si="18"/>
        <v>4481850.6493506497</v>
      </c>
    </row>
    <row r="73" spans="2:34">
      <c r="B73" s="219" t="s">
        <v>331</v>
      </c>
      <c r="C73" s="166" t="s">
        <v>225</v>
      </c>
      <c r="D73" s="166" t="s">
        <v>103</v>
      </c>
      <c r="E73" s="166" t="s">
        <v>119</v>
      </c>
      <c r="F73" s="166" t="s">
        <v>307</v>
      </c>
      <c r="G73" s="164">
        <v>56000</v>
      </c>
      <c r="H73" s="167">
        <v>2200</v>
      </c>
      <c r="I73" s="165">
        <v>45</v>
      </c>
      <c r="J73" s="168">
        <f>Table156[[#This Row],[Construction Unit Rate ($/m)]]*Table156[[#This Row],[Area size (m2)]]+Table156[[#This Row],[Utility allowance ($56,000/site)]]</f>
        <v>155000</v>
      </c>
      <c r="K73" s="167">
        <v>2200</v>
      </c>
      <c r="L73" s="169">
        <v>2558.4415584415588</v>
      </c>
      <c r="M73" s="170">
        <f>Table156[[#This Row],[Land Unit Rate ($/m2)]]*Table156[[#This Row],[Size of land (m2) (*)]]</f>
        <v>5628571.4285714291</v>
      </c>
      <c r="N73" s="117">
        <v>2021</v>
      </c>
      <c r="O73" s="117">
        <f>IFERROR(('General Input Sheet'!$G$38/(VLOOKUP(N73,'General Input Sheet'!$E$38:$G$48,3,FALSE))),1)</f>
        <v>1</v>
      </c>
      <c r="P73" s="200">
        <f t="shared" si="6"/>
        <v>5783571.4285714291</v>
      </c>
      <c r="Q73" s="57" t="str">
        <f t="shared" si="19"/>
        <v/>
      </c>
      <c r="R73" s="57" t="str">
        <f t="shared" si="19"/>
        <v/>
      </c>
      <c r="S73" s="57" t="str">
        <f t="shared" si="19"/>
        <v/>
      </c>
      <c r="T73" s="57" t="str">
        <f t="shared" si="19"/>
        <v>y</v>
      </c>
      <c r="U73" s="100" t="str">
        <f t="shared" si="19"/>
        <v/>
      </c>
      <c r="V73" s="115"/>
      <c r="W73" s="201" t="str">
        <f t="shared" si="8"/>
        <v/>
      </c>
      <c r="X73" s="202" t="str">
        <f t="shared" si="9"/>
        <v/>
      </c>
      <c r="Y73" s="202" t="str">
        <f t="shared" si="10"/>
        <v/>
      </c>
      <c r="Z73" s="202">
        <f t="shared" si="11"/>
        <v>1</v>
      </c>
      <c r="AA73" s="202" t="str">
        <f t="shared" si="12"/>
        <v/>
      </c>
      <c r="AB73" s="61">
        <f t="shared" si="13"/>
        <v>1</v>
      </c>
      <c r="AD73" s="285" t="str">
        <f t="shared" si="14"/>
        <v/>
      </c>
      <c r="AE73" s="286" t="str">
        <f t="shared" si="15"/>
        <v/>
      </c>
      <c r="AF73" s="286" t="str">
        <f t="shared" si="16"/>
        <v/>
      </c>
      <c r="AG73" s="286">
        <f t="shared" si="17"/>
        <v>5783571.4285714291</v>
      </c>
      <c r="AH73" s="288" t="str">
        <f t="shared" si="18"/>
        <v/>
      </c>
    </row>
    <row r="74" spans="2:34">
      <c r="B74" s="219" t="s">
        <v>331</v>
      </c>
      <c r="C74" s="166" t="s">
        <v>226</v>
      </c>
      <c r="D74" s="166" t="s">
        <v>104</v>
      </c>
      <c r="E74" s="166" t="s">
        <v>119</v>
      </c>
      <c r="F74" s="166" t="s">
        <v>308</v>
      </c>
      <c r="G74" s="164">
        <v>56000</v>
      </c>
      <c r="H74" s="167">
        <v>1000</v>
      </c>
      <c r="I74" s="165">
        <v>45</v>
      </c>
      <c r="J74" s="168">
        <f>Table156[[#This Row],[Construction Unit Rate ($/m)]]*Table156[[#This Row],[Area size (m2)]]+Table156[[#This Row],[Utility allowance ($56,000/site)]]</f>
        <v>101000</v>
      </c>
      <c r="K74" s="167">
        <v>1000</v>
      </c>
      <c r="L74" s="169">
        <v>2558.4415584415588</v>
      </c>
      <c r="M74" s="170">
        <f>Table156[[#This Row],[Land Unit Rate ($/m2)]]*Table156[[#This Row],[Size of land (m2) (*)]]</f>
        <v>2558441.5584415589</v>
      </c>
      <c r="N74" s="117">
        <v>2021</v>
      </c>
      <c r="O74" s="117">
        <f>IFERROR(('General Input Sheet'!$G$38/(VLOOKUP(N74,'General Input Sheet'!$E$38:$G$48,3,FALSE))),1)</f>
        <v>1</v>
      </c>
      <c r="P74" s="200">
        <f t="shared" si="6"/>
        <v>2659441.5584415589</v>
      </c>
      <c r="Q74" s="57" t="str">
        <f t="shared" si="19"/>
        <v/>
      </c>
      <c r="R74" s="57" t="str">
        <f t="shared" si="19"/>
        <v/>
      </c>
      <c r="S74" s="57" t="str">
        <f t="shared" si="19"/>
        <v/>
      </c>
      <c r="T74" s="57" t="str">
        <f t="shared" si="19"/>
        <v>y</v>
      </c>
      <c r="U74" s="100" t="str">
        <f t="shared" si="19"/>
        <v/>
      </c>
      <c r="V74" s="115"/>
      <c r="W74" s="201" t="str">
        <f t="shared" si="8"/>
        <v/>
      </c>
      <c r="X74" s="202" t="str">
        <f t="shared" si="9"/>
        <v/>
      </c>
      <c r="Y74" s="202" t="str">
        <f t="shared" si="10"/>
        <v/>
      </c>
      <c r="Z74" s="202">
        <f t="shared" si="11"/>
        <v>1</v>
      </c>
      <c r="AA74" s="202" t="str">
        <f t="shared" si="12"/>
        <v/>
      </c>
      <c r="AB74" s="61">
        <f t="shared" si="13"/>
        <v>1</v>
      </c>
      <c r="AD74" s="285" t="str">
        <f t="shared" si="14"/>
        <v/>
      </c>
      <c r="AE74" s="286" t="str">
        <f t="shared" si="15"/>
        <v/>
      </c>
      <c r="AF74" s="286" t="str">
        <f t="shared" si="16"/>
        <v/>
      </c>
      <c r="AG74" s="286">
        <f t="shared" si="17"/>
        <v>2659441.5584415589</v>
      </c>
      <c r="AH74" s="288" t="str">
        <f t="shared" si="18"/>
        <v/>
      </c>
    </row>
    <row r="75" spans="2:34">
      <c r="B75" s="219" t="s">
        <v>350</v>
      </c>
      <c r="C75" s="166" t="s">
        <v>227</v>
      </c>
      <c r="D75" s="166" t="s">
        <v>146</v>
      </c>
      <c r="E75" s="166" t="s">
        <v>117</v>
      </c>
      <c r="F75" s="166" t="s">
        <v>309</v>
      </c>
      <c r="G75" s="164">
        <v>56000</v>
      </c>
      <c r="H75" s="167">
        <v>1960</v>
      </c>
      <c r="I75" s="165">
        <v>45</v>
      </c>
      <c r="J75" s="168">
        <f>Table156[[#This Row],[Construction Unit Rate ($/m)]]*Table156[[#This Row],[Area size (m2)]]+Table156[[#This Row],[Utility allowance ($56,000/site)]]</f>
        <v>144200</v>
      </c>
      <c r="K75" s="167">
        <v>1960</v>
      </c>
      <c r="L75" s="169">
        <v>2558.4415584415588</v>
      </c>
      <c r="M75" s="170">
        <f>Table156[[#This Row],[Land Unit Rate ($/m2)]]*Table156[[#This Row],[Size of land (m2) (*)]]</f>
        <v>5014545.4545454551</v>
      </c>
      <c r="N75" s="117">
        <v>2021</v>
      </c>
      <c r="O75" s="117">
        <f>IFERROR(('General Input Sheet'!$G$38/(VLOOKUP(N75,'General Input Sheet'!$E$38:$G$48,3,FALSE))),1)</f>
        <v>1</v>
      </c>
      <c r="P75" s="200">
        <f t="shared" si="6"/>
        <v>5158745.4545454551</v>
      </c>
      <c r="Q75" s="57" t="str">
        <f t="shared" si="19"/>
        <v/>
      </c>
      <c r="R75" s="57" t="str">
        <f t="shared" si="19"/>
        <v>y</v>
      </c>
      <c r="S75" s="57" t="str">
        <f t="shared" si="19"/>
        <v/>
      </c>
      <c r="T75" s="57" t="str">
        <f t="shared" si="19"/>
        <v/>
      </c>
      <c r="U75" s="100" t="str">
        <f t="shared" si="19"/>
        <v/>
      </c>
      <c r="V75" s="115"/>
      <c r="W75" s="201" t="str">
        <f t="shared" si="8"/>
        <v/>
      </c>
      <c r="X75" s="202">
        <f t="shared" si="9"/>
        <v>1</v>
      </c>
      <c r="Y75" s="202" t="str">
        <f t="shared" si="10"/>
        <v/>
      </c>
      <c r="Z75" s="202" t="str">
        <f t="shared" si="11"/>
        <v/>
      </c>
      <c r="AA75" s="202" t="str">
        <f t="shared" si="12"/>
        <v/>
      </c>
      <c r="AB75" s="61">
        <f t="shared" si="13"/>
        <v>1</v>
      </c>
      <c r="AD75" s="285" t="str">
        <f t="shared" si="14"/>
        <v/>
      </c>
      <c r="AE75" s="286">
        <f t="shared" si="15"/>
        <v>5158745.4545454551</v>
      </c>
      <c r="AF75" s="286" t="str">
        <f t="shared" si="16"/>
        <v/>
      </c>
      <c r="AG75" s="286" t="str">
        <f t="shared" si="17"/>
        <v/>
      </c>
      <c r="AH75" s="288" t="str">
        <f t="shared" si="18"/>
        <v/>
      </c>
    </row>
    <row r="76" spans="2:34">
      <c r="B76" s="219" t="s">
        <v>351</v>
      </c>
      <c r="C76" s="166" t="s">
        <v>228</v>
      </c>
      <c r="D76" s="166" t="s">
        <v>146</v>
      </c>
      <c r="E76" s="166" t="s">
        <v>118</v>
      </c>
      <c r="F76" s="166" t="s">
        <v>310</v>
      </c>
      <c r="G76" s="164">
        <v>56000</v>
      </c>
      <c r="H76" s="167">
        <v>3000</v>
      </c>
      <c r="I76" s="165">
        <v>45</v>
      </c>
      <c r="J76" s="168">
        <f>Table156[[#This Row],[Construction Unit Rate ($/m)]]*Table156[[#This Row],[Area size (m2)]]+Table156[[#This Row],[Utility allowance ($56,000/site)]]</f>
        <v>191000</v>
      </c>
      <c r="K76" s="167">
        <v>3000</v>
      </c>
      <c r="L76" s="169">
        <v>255.84415584415586</v>
      </c>
      <c r="M76" s="170">
        <f>Table156[[#This Row],[Land Unit Rate ($/m2)]]*Table156[[#This Row],[Size of land (m2) (*)]]</f>
        <v>767532.46753246756</v>
      </c>
      <c r="N76" s="117">
        <v>2021</v>
      </c>
      <c r="O76" s="117">
        <f>IFERROR(('General Input Sheet'!$G$38/(VLOOKUP(N76,'General Input Sheet'!$E$38:$G$48,3,FALSE))),1)</f>
        <v>1</v>
      </c>
      <c r="P76" s="200">
        <f t="shared" si="6"/>
        <v>958532.46753246756</v>
      </c>
      <c r="Q76" s="57" t="str">
        <f t="shared" si="19"/>
        <v/>
      </c>
      <c r="R76" s="57" t="str">
        <f t="shared" si="19"/>
        <v/>
      </c>
      <c r="S76" s="57" t="str">
        <f t="shared" si="19"/>
        <v>y</v>
      </c>
      <c r="T76" s="57" t="str">
        <f t="shared" si="19"/>
        <v/>
      </c>
      <c r="U76" s="100" t="str">
        <f t="shared" si="19"/>
        <v/>
      </c>
      <c r="V76" s="115"/>
      <c r="W76" s="201" t="str">
        <f t="shared" si="8"/>
        <v/>
      </c>
      <c r="X76" s="202" t="str">
        <f t="shared" si="9"/>
        <v/>
      </c>
      <c r="Y76" s="202">
        <f t="shared" si="10"/>
        <v>1</v>
      </c>
      <c r="Z76" s="202" t="str">
        <f t="shared" si="11"/>
        <v/>
      </c>
      <c r="AA76" s="202" t="str">
        <f t="shared" si="12"/>
        <v/>
      </c>
      <c r="AB76" s="61">
        <f t="shared" si="13"/>
        <v>1</v>
      </c>
      <c r="AD76" s="285" t="str">
        <f t="shared" si="14"/>
        <v/>
      </c>
      <c r="AE76" s="286" t="str">
        <f t="shared" si="15"/>
        <v/>
      </c>
      <c r="AF76" s="286">
        <f t="shared" si="16"/>
        <v>958532.46753246756</v>
      </c>
      <c r="AG76" s="286" t="str">
        <f t="shared" si="17"/>
        <v/>
      </c>
      <c r="AH76" s="288" t="str">
        <f t="shared" si="18"/>
        <v/>
      </c>
    </row>
    <row r="77" spans="2:34">
      <c r="B77" s="219" t="s">
        <v>352</v>
      </c>
      <c r="C77" s="166" t="s">
        <v>229</v>
      </c>
      <c r="D77" s="166" t="s">
        <v>103</v>
      </c>
      <c r="E77" s="166" t="s">
        <v>118</v>
      </c>
      <c r="F77" s="166" t="s">
        <v>311</v>
      </c>
      <c r="G77" s="164">
        <v>56000</v>
      </c>
      <c r="H77" s="167">
        <v>1000</v>
      </c>
      <c r="I77" s="165">
        <v>45</v>
      </c>
      <c r="J77" s="168">
        <f>Table156[[#This Row],[Construction Unit Rate ($/m)]]*Table156[[#This Row],[Area size (m2)]]+Table156[[#This Row],[Utility allowance ($56,000/site)]]</f>
        <v>101000</v>
      </c>
      <c r="K77" s="167">
        <v>1000</v>
      </c>
      <c r="L77" s="169">
        <v>1692.0371002815923</v>
      </c>
      <c r="M77" s="170">
        <f>Table156[[#This Row],[Land Unit Rate ($/m2)]]*Table156[[#This Row],[Size of land (m2) (*)]]</f>
        <v>1692037.1002815922</v>
      </c>
      <c r="N77" s="117">
        <v>2021</v>
      </c>
      <c r="O77" s="117">
        <f>IFERROR(('General Input Sheet'!$G$38/(VLOOKUP(N77,'General Input Sheet'!$E$38:$G$48,3,FALSE))),1)</f>
        <v>1</v>
      </c>
      <c r="P77" s="200">
        <f t="shared" ref="P77:P92" si="20">J77+M77</f>
        <v>1793037.1002815922</v>
      </c>
      <c r="Q77" s="57" t="str">
        <f t="shared" si="19"/>
        <v/>
      </c>
      <c r="R77" s="57" t="str">
        <f t="shared" si="19"/>
        <v/>
      </c>
      <c r="S77" s="57" t="str">
        <f t="shared" si="19"/>
        <v>y</v>
      </c>
      <c r="T77" s="57" t="str">
        <f t="shared" si="19"/>
        <v/>
      </c>
      <c r="U77" s="100" t="str">
        <f t="shared" si="19"/>
        <v/>
      </c>
      <c r="V77" s="115"/>
      <c r="W77" s="201" t="str">
        <f t="shared" si="8"/>
        <v/>
      </c>
      <c r="X77" s="202" t="str">
        <f t="shared" si="9"/>
        <v/>
      </c>
      <c r="Y77" s="202">
        <f t="shared" si="10"/>
        <v>1</v>
      </c>
      <c r="Z77" s="202" t="str">
        <f t="shared" si="11"/>
        <v/>
      </c>
      <c r="AA77" s="202" t="str">
        <f t="shared" si="12"/>
        <v/>
      </c>
      <c r="AB77" s="61">
        <f t="shared" si="13"/>
        <v>1</v>
      </c>
      <c r="AD77" s="285" t="str">
        <f t="shared" si="14"/>
        <v/>
      </c>
      <c r="AE77" s="286" t="str">
        <f t="shared" si="15"/>
        <v/>
      </c>
      <c r="AF77" s="286">
        <f t="shared" si="16"/>
        <v>1793037.1002815922</v>
      </c>
      <c r="AG77" s="286" t="str">
        <f t="shared" si="17"/>
        <v/>
      </c>
      <c r="AH77" s="288" t="str">
        <f t="shared" si="18"/>
        <v/>
      </c>
    </row>
    <row r="78" spans="2:34">
      <c r="B78" s="219" t="s">
        <v>334</v>
      </c>
      <c r="C78" s="166" t="s">
        <v>230</v>
      </c>
      <c r="D78" s="166" t="s">
        <v>104</v>
      </c>
      <c r="E78" s="166" t="s">
        <v>119</v>
      </c>
      <c r="F78" s="166" t="s">
        <v>312</v>
      </c>
      <c r="G78" s="164">
        <v>56000</v>
      </c>
      <c r="H78" s="167">
        <v>6600</v>
      </c>
      <c r="I78" s="165">
        <v>45</v>
      </c>
      <c r="J78" s="168">
        <f>Table156[[#This Row],[Construction Unit Rate ($/m)]]*Table156[[#This Row],[Area size (m2)]]+Table156[[#This Row],[Utility allowance ($56,000/site)]]</f>
        <v>353000</v>
      </c>
      <c r="K78" s="167">
        <v>6600</v>
      </c>
      <c r="L78" s="169">
        <v>1692.0371002815923</v>
      </c>
      <c r="M78" s="170">
        <f>Table156[[#This Row],[Land Unit Rate ($/m2)]]*Table156[[#This Row],[Size of land (m2) (*)]]</f>
        <v>11167444.861858509</v>
      </c>
      <c r="N78" s="117">
        <v>2021</v>
      </c>
      <c r="O78" s="117">
        <f>IFERROR(('General Input Sheet'!$G$38/(VLOOKUP(N78,'General Input Sheet'!$E$38:$G$48,3,FALSE))),1)</f>
        <v>1</v>
      </c>
      <c r="P78" s="65">
        <f t="shared" si="20"/>
        <v>11520444.861858509</v>
      </c>
      <c r="Q78" s="57" t="str">
        <f t="shared" si="19"/>
        <v/>
      </c>
      <c r="R78" s="57" t="str">
        <f t="shared" si="19"/>
        <v/>
      </c>
      <c r="S78" s="57" t="str">
        <f t="shared" si="19"/>
        <v/>
      </c>
      <c r="T78" s="57" t="str">
        <f t="shared" si="19"/>
        <v>y</v>
      </c>
      <c r="U78" s="100" t="str">
        <f t="shared" si="19"/>
        <v/>
      </c>
      <c r="V78" s="115"/>
      <c r="W78" s="201" t="str">
        <f t="shared" ref="W78:W92" si="21">IF(Q78="y",100%,"")</f>
        <v/>
      </c>
      <c r="X78" s="202" t="str">
        <f t="shared" ref="X78:X92" si="22">IF(R78="y",100%,"")</f>
        <v/>
      </c>
      <c r="Y78" s="202" t="str">
        <f t="shared" ref="Y78:Y92" si="23">IF(S78="y",100%,"")</f>
        <v/>
      </c>
      <c r="Z78" s="202">
        <f t="shared" ref="Z78:Z92" si="24">IF(T78="y",100%,"")</f>
        <v>1</v>
      </c>
      <c r="AA78" s="202" t="str">
        <f t="shared" ref="AA78:AA92" si="25">IF(U78="y",100%,"")</f>
        <v/>
      </c>
      <c r="AB78" s="61">
        <f t="shared" ref="AB78:AB92" si="26">SUM(W78:AA78)</f>
        <v>1</v>
      </c>
      <c r="AD78" s="285" t="str">
        <f t="shared" ref="AD78:AD92" si="27">IF(W78="","",(W78/$AB78)*$P78)</f>
        <v/>
      </c>
      <c r="AE78" s="286" t="str">
        <f t="shared" ref="AE78:AE92" si="28">IF(X78="","",(X78/$AB78)*$P78)</f>
        <v/>
      </c>
      <c r="AF78" s="286" t="str">
        <f t="shared" ref="AF78:AF92" si="29">IF(Y78="","",(Y78/$AB78)*$P78)</f>
        <v/>
      </c>
      <c r="AG78" s="286">
        <f t="shared" ref="AG78:AG92" si="30">IF(Z78="","",(Z78/$AB78)*$P78)</f>
        <v>11520444.861858509</v>
      </c>
      <c r="AH78" s="288" t="str">
        <f t="shared" ref="AH78:AH92" si="31">IF(AA78="","",(AA78/$AB78)*$P78)</f>
        <v/>
      </c>
    </row>
    <row r="79" spans="2:34">
      <c r="B79" s="219" t="s">
        <v>340</v>
      </c>
      <c r="C79" s="166" t="s">
        <v>231</v>
      </c>
      <c r="D79" s="166" t="s">
        <v>104</v>
      </c>
      <c r="E79" s="166" t="s">
        <v>119</v>
      </c>
      <c r="F79" s="166" t="s">
        <v>313</v>
      </c>
      <c r="G79" s="164">
        <v>56000</v>
      </c>
      <c r="H79" s="167">
        <v>600</v>
      </c>
      <c r="I79" s="165">
        <v>45</v>
      </c>
      <c r="J79" s="168">
        <f>Table156[[#This Row],[Construction Unit Rate ($/m)]]*Table156[[#This Row],[Area size (m2)]]+Table156[[#This Row],[Utility allowance ($56,000/site)]]</f>
        <v>83000</v>
      </c>
      <c r="K79" s="167">
        <v>600</v>
      </c>
      <c r="L79" s="169">
        <v>2558.4415584415588</v>
      </c>
      <c r="M79" s="170">
        <f>Table156[[#This Row],[Land Unit Rate ($/m2)]]*Table156[[#This Row],[Size of land (m2) (*)]]</f>
        <v>1535064.9350649354</v>
      </c>
      <c r="N79" s="117">
        <v>2021</v>
      </c>
      <c r="O79" s="117">
        <f>IFERROR(('General Input Sheet'!$G$38/(VLOOKUP(N79,'General Input Sheet'!$E$38:$G$48,3,FALSE))),1)</f>
        <v>1</v>
      </c>
      <c r="P79" s="65">
        <f t="shared" si="20"/>
        <v>1618064.9350649354</v>
      </c>
      <c r="Q79" s="57" t="str">
        <f t="shared" si="19"/>
        <v/>
      </c>
      <c r="R79" s="57" t="str">
        <f t="shared" si="19"/>
        <v/>
      </c>
      <c r="S79" s="57" t="str">
        <f t="shared" si="19"/>
        <v/>
      </c>
      <c r="T79" s="57" t="str">
        <f t="shared" si="19"/>
        <v>y</v>
      </c>
      <c r="U79" s="100" t="str">
        <f t="shared" si="19"/>
        <v/>
      </c>
      <c r="V79" s="115"/>
      <c r="W79" s="201" t="str">
        <f t="shared" si="21"/>
        <v/>
      </c>
      <c r="X79" s="202" t="str">
        <f t="shared" si="22"/>
        <v/>
      </c>
      <c r="Y79" s="202" t="str">
        <f t="shared" si="23"/>
        <v/>
      </c>
      <c r="Z79" s="202">
        <f t="shared" si="24"/>
        <v>1</v>
      </c>
      <c r="AA79" s="202" t="str">
        <f t="shared" si="25"/>
        <v/>
      </c>
      <c r="AB79" s="61">
        <f t="shared" si="26"/>
        <v>1</v>
      </c>
      <c r="AD79" s="285" t="str">
        <f t="shared" si="27"/>
        <v/>
      </c>
      <c r="AE79" s="286" t="str">
        <f t="shared" si="28"/>
        <v/>
      </c>
      <c r="AF79" s="286" t="str">
        <f t="shared" si="29"/>
        <v/>
      </c>
      <c r="AG79" s="286">
        <f t="shared" si="30"/>
        <v>1618064.9350649354</v>
      </c>
      <c r="AH79" s="288" t="str">
        <f t="shared" si="31"/>
        <v/>
      </c>
    </row>
    <row r="80" spans="2:34">
      <c r="B80" s="219" t="s">
        <v>148</v>
      </c>
      <c r="C80" s="166" t="s">
        <v>232</v>
      </c>
      <c r="D80" s="166" t="s">
        <v>104</v>
      </c>
      <c r="E80" s="166" t="s">
        <v>119</v>
      </c>
      <c r="F80" s="166" t="s">
        <v>314</v>
      </c>
      <c r="G80" s="164">
        <v>56000</v>
      </c>
      <c r="H80" s="167">
        <v>3600</v>
      </c>
      <c r="I80" s="165">
        <v>45</v>
      </c>
      <c r="J80" s="168">
        <f>Table156[[#This Row],[Construction Unit Rate ($/m)]]*Table156[[#This Row],[Area size (m2)]]+Table156[[#This Row],[Utility allowance ($56,000/site)]]</f>
        <v>218000</v>
      </c>
      <c r="K80" s="167">
        <v>3600</v>
      </c>
      <c r="L80" s="169">
        <v>1895.1418951418955</v>
      </c>
      <c r="M80" s="170">
        <f>Table156[[#This Row],[Land Unit Rate ($/m2)]]*Table156[[#This Row],[Size of land (m2) (*)]]</f>
        <v>6822510.8225108236</v>
      </c>
      <c r="N80" s="117">
        <v>2021</v>
      </c>
      <c r="O80" s="117">
        <f>IFERROR(('General Input Sheet'!$G$38/(VLOOKUP(N80,'General Input Sheet'!$E$38:$G$48,3,FALSE))),1)</f>
        <v>1</v>
      </c>
      <c r="P80" s="200">
        <f t="shared" si="20"/>
        <v>7040510.8225108236</v>
      </c>
      <c r="Q80" s="57" t="str">
        <f t="shared" si="19"/>
        <v/>
      </c>
      <c r="R80" s="57" t="str">
        <f t="shared" si="19"/>
        <v/>
      </c>
      <c r="S80" s="57" t="str">
        <f t="shared" si="19"/>
        <v/>
      </c>
      <c r="T80" s="57" t="str">
        <f t="shared" si="19"/>
        <v>y</v>
      </c>
      <c r="U80" s="100" t="str">
        <f t="shared" si="19"/>
        <v/>
      </c>
      <c r="V80" s="115"/>
      <c r="W80" s="201" t="str">
        <f t="shared" si="21"/>
        <v/>
      </c>
      <c r="X80" s="202" t="str">
        <f t="shared" si="22"/>
        <v/>
      </c>
      <c r="Y80" s="202" t="str">
        <f t="shared" si="23"/>
        <v/>
      </c>
      <c r="Z80" s="202">
        <f t="shared" si="24"/>
        <v>1</v>
      </c>
      <c r="AA80" s="202" t="str">
        <f t="shared" si="25"/>
        <v/>
      </c>
      <c r="AB80" s="61">
        <f t="shared" si="26"/>
        <v>1</v>
      </c>
      <c r="AD80" s="285" t="str">
        <f t="shared" si="27"/>
        <v/>
      </c>
      <c r="AE80" s="286" t="str">
        <f t="shared" si="28"/>
        <v/>
      </c>
      <c r="AF80" s="286" t="str">
        <f t="shared" si="29"/>
        <v/>
      </c>
      <c r="AG80" s="286">
        <f t="shared" si="30"/>
        <v>7040510.8225108236</v>
      </c>
      <c r="AH80" s="288" t="str">
        <f t="shared" si="31"/>
        <v/>
      </c>
    </row>
    <row r="81" spans="2:34">
      <c r="B81" s="219" t="s">
        <v>353</v>
      </c>
      <c r="C81" s="166" t="s">
        <v>233</v>
      </c>
      <c r="D81" s="166" t="s">
        <v>104</v>
      </c>
      <c r="E81" s="166" t="s">
        <v>118</v>
      </c>
      <c r="F81" s="166" t="s">
        <v>315</v>
      </c>
      <c r="G81" s="164">
        <v>56000</v>
      </c>
      <c r="H81" s="167">
        <v>800</v>
      </c>
      <c r="I81" s="165">
        <v>45</v>
      </c>
      <c r="J81" s="168">
        <f>Table156[[#This Row],[Construction Unit Rate ($/m)]]*Table156[[#This Row],[Area size (m2)]]+Table156[[#This Row],[Utility allowance ($56,000/site)]]</f>
        <v>92000</v>
      </c>
      <c r="K81" s="167">
        <v>800</v>
      </c>
      <c r="L81" s="169">
        <v>1228.0519480519481</v>
      </c>
      <c r="M81" s="170">
        <f>Table156[[#This Row],[Land Unit Rate ($/m2)]]*Table156[[#This Row],[Size of land (m2) (*)]]</f>
        <v>982441.5584415585</v>
      </c>
      <c r="N81" s="117">
        <v>2021</v>
      </c>
      <c r="O81" s="117">
        <f>IFERROR(('General Input Sheet'!$G$38/(VLOOKUP(N81,'General Input Sheet'!$E$38:$G$48,3,FALSE))),1)</f>
        <v>1</v>
      </c>
      <c r="P81" s="200">
        <f t="shared" si="20"/>
        <v>1074441.5584415584</v>
      </c>
      <c r="Q81" s="57" t="str">
        <f t="shared" si="19"/>
        <v/>
      </c>
      <c r="R81" s="57" t="str">
        <f t="shared" si="19"/>
        <v/>
      </c>
      <c r="S81" s="57" t="str">
        <f t="shared" si="19"/>
        <v>y</v>
      </c>
      <c r="T81" s="57" t="str">
        <f t="shared" si="19"/>
        <v/>
      </c>
      <c r="U81" s="100" t="str">
        <f t="shared" si="19"/>
        <v/>
      </c>
      <c r="V81" s="115"/>
      <c r="W81" s="201" t="str">
        <f t="shared" si="21"/>
        <v/>
      </c>
      <c r="X81" s="202" t="str">
        <f t="shared" si="22"/>
        <v/>
      </c>
      <c r="Y81" s="202">
        <f t="shared" si="23"/>
        <v>1</v>
      </c>
      <c r="Z81" s="202" t="str">
        <f t="shared" si="24"/>
        <v/>
      </c>
      <c r="AA81" s="202" t="str">
        <f t="shared" si="25"/>
        <v/>
      </c>
      <c r="AB81" s="61">
        <f t="shared" si="26"/>
        <v>1</v>
      </c>
      <c r="AD81" s="285" t="str">
        <f t="shared" si="27"/>
        <v/>
      </c>
      <c r="AE81" s="286" t="str">
        <f t="shared" si="28"/>
        <v/>
      </c>
      <c r="AF81" s="286">
        <f t="shared" si="29"/>
        <v>1074441.5584415584</v>
      </c>
      <c r="AG81" s="286" t="str">
        <f t="shared" si="30"/>
        <v/>
      </c>
      <c r="AH81" s="288" t="str">
        <f t="shared" si="31"/>
        <v/>
      </c>
    </row>
    <row r="82" spans="2:34">
      <c r="B82" s="219" t="s">
        <v>354</v>
      </c>
      <c r="C82" s="166" t="s">
        <v>234</v>
      </c>
      <c r="D82" s="166" t="s">
        <v>104</v>
      </c>
      <c r="E82" s="166" t="s">
        <v>118</v>
      </c>
      <c r="F82" s="166" t="s">
        <v>316</v>
      </c>
      <c r="G82" s="164">
        <v>56000</v>
      </c>
      <c r="H82" s="167">
        <v>19600</v>
      </c>
      <c r="I82" s="165">
        <v>45</v>
      </c>
      <c r="J82" s="168">
        <f>Table156[[#This Row],[Construction Unit Rate ($/m)]]*Table156[[#This Row],[Area size (m2)]]+Table156[[#This Row],[Utility allowance ($56,000/site)]]</f>
        <v>938000</v>
      </c>
      <c r="K82" s="167">
        <v>19600</v>
      </c>
      <c r="L82" s="169">
        <v>1228.0519480519481</v>
      </c>
      <c r="M82" s="170">
        <f>Table156[[#This Row],[Land Unit Rate ($/m2)]]*Table156[[#This Row],[Size of land (m2) (*)]]</f>
        <v>24069818.181818184</v>
      </c>
      <c r="N82" s="117">
        <v>2021</v>
      </c>
      <c r="O82" s="117">
        <f>IFERROR(('General Input Sheet'!$G$38/(VLOOKUP(N82,'General Input Sheet'!$E$38:$G$48,3,FALSE))),1)</f>
        <v>1</v>
      </c>
      <c r="P82" s="200">
        <f t="shared" si="20"/>
        <v>25007818.181818184</v>
      </c>
      <c r="Q82" s="57" t="str">
        <f t="shared" si="19"/>
        <v/>
      </c>
      <c r="R82" s="57" t="str">
        <f t="shared" si="19"/>
        <v/>
      </c>
      <c r="S82" s="57" t="str">
        <f t="shared" si="19"/>
        <v>y</v>
      </c>
      <c r="T82" s="57" t="str">
        <f t="shared" si="19"/>
        <v/>
      </c>
      <c r="U82" s="100" t="str">
        <f t="shared" si="19"/>
        <v/>
      </c>
      <c r="V82" s="115"/>
      <c r="W82" s="201" t="str">
        <f t="shared" si="21"/>
        <v/>
      </c>
      <c r="X82" s="202" t="str">
        <f t="shared" si="22"/>
        <v/>
      </c>
      <c r="Y82" s="202">
        <f t="shared" si="23"/>
        <v>1</v>
      </c>
      <c r="Z82" s="202" t="str">
        <f t="shared" si="24"/>
        <v/>
      </c>
      <c r="AA82" s="202" t="str">
        <f t="shared" si="25"/>
        <v/>
      </c>
      <c r="AB82" s="61">
        <f t="shared" si="26"/>
        <v>1</v>
      </c>
      <c r="AD82" s="285" t="str">
        <f t="shared" si="27"/>
        <v/>
      </c>
      <c r="AE82" s="286" t="str">
        <f t="shared" si="28"/>
        <v/>
      </c>
      <c r="AF82" s="286">
        <f t="shared" si="29"/>
        <v>25007818.181818184</v>
      </c>
      <c r="AG82" s="286" t="str">
        <f t="shared" si="30"/>
        <v/>
      </c>
      <c r="AH82" s="288" t="str">
        <f t="shared" si="31"/>
        <v/>
      </c>
    </row>
    <row r="83" spans="2:34">
      <c r="B83" s="219" t="s">
        <v>331</v>
      </c>
      <c r="C83" s="166" t="s">
        <v>235</v>
      </c>
      <c r="D83" s="166" t="s">
        <v>104</v>
      </c>
      <c r="E83" s="166" t="s">
        <v>119</v>
      </c>
      <c r="F83" s="166" t="s">
        <v>317</v>
      </c>
      <c r="G83" s="164">
        <v>56000</v>
      </c>
      <c r="H83" s="167">
        <v>2500</v>
      </c>
      <c r="I83" s="165">
        <v>45</v>
      </c>
      <c r="J83" s="168">
        <f>Table156[[#This Row],[Construction Unit Rate ($/m)]]*Table156[[#This Row],[Area size (m2)]]+Table156[[#This Row],[Utility allowance ($56,000/site)]]</f>
        <v>168500</v>
      </c>
      <c r="K83" s="167">
        <v>2500</v>
      </c>
      <c r="L83" s="169">
        <v>1893.2467532467535</v>
      </c>
      <c r="M83" s="170">
        <f>Table156[[#This Row],[Land Unit Rate ($/m2)]]*Table156[[#This Row],[Size of land (m2) (*)]]</f>
        <v>4733116.8831168842</v>
      </c>
      <c r="N83" s="117">
        <v>2021</v>
      </c>
      <c r="O83" s="117">
        <f>IFERROR(('General Input Sheet'!$G$38/(VLOOKUP(N83,'General Input Sheet'!$E$38:$G$48,3,FALSE))),1)</f>
        <v>1</v>
      </c>
      <c r="P83" s="200">
        <f t="shared" si="20"/>
        <v>4901616.8831168842</v>
      </c>
      <c r="Q83" s="57" t="str">
        <f t="shared" si="19"/>
        <v/>
      </c>
      <c r="R83" s="57" t="str">
        <f t="shared" si="19"/>
        <v/>
      </c>
      <c r="S83" s="57" t="str">
        <f t="shared" si="19"/>
        <v/>
      </c>
      <c r="T83" s="57" t="str">
        <f t="shared" si="19"/>
        <v>y</v>
      </c>
      <c r="U83" s="100" t="str">
        <f t="shared" si="19"/>
        <v/>
      </c>
      <c r="V83" s="115"/>
      <c r="W83" s="201" t="str">
        <f t="shared" si="21"/>
        <v/>
      </c>
      <c r="X83" s="202" t="str">
        <f t="shared" si="22"/>
        <v/>
      </c>
      <c r="Y83" s="202" t="str">
        <f t="shared" si="23"/>
        <v/>
      </c>
      <c r="Z83" s="202">
        <f t="shared" si="24"/>
        <v>1</v>
      </c>
      <c r="AA83" s="202" t="str">
        <f t="shared" si="25"/>
        <v/>
      </c>
      <c r="AB83" s="61">
        <f t="shared" si="26"/>
        <v>1</v>
      </c>
      <c r="AD83" s="285" t="str">
        <f t="shared" si="27"/>
        <v/>
      </c>
      <c r="AE83" s="286" t="str">
        <f t="shared" si="28"/>
        <v/>
      </c>
      <c r="AF83" s="286" t="str">
        <f t="shared" si="29"/>
        <v/>
      </c>
      <c r="AG83" s="286">
        <f t="shared" si="30"/>
        <v>4901616.8831168842</v>
      </c>
      <c r="AH83" s="288" t="str">
        <f t="shared" si="31"/>
        <v/>
      </c>
    </row>
    <row r="84" spans="2:34">
      <c r="B84" s="219" t="s">
        <v>343</v>
      </c>
      <c r="C84" s="166" t="s">
        <v>236</v>
      </c>
      <c r="D84" s="166" t="s">
        <v>104</v>
      </c>
      <c r="E84" s="166" t="s">
        <v>120</v>
      </c>
      <c r="F84" s="166" t="s">
        <v>318</v>
      </c>
      <c r="G84" s="164">
        <v>56000</v>
      </c>
      <c r="H84" s="167">
        <v>600</v>
      </c>
      <c r="I84" s="165">
        <v>45</v>
      </c>
      <c r="J84" s="168">
        <f>Table156[[#This Row],[Construction Unit Rate ($/m)]]*Table156[[#This Row],[Area size (m2)]]+Table156[[#This Row],[Utility allowance ($56,000/site)]]</f>
        <v>83000</v>
      </c>
      <c r="K84" s="167">
        <v>600</v>
      </c>
      <c r="L84" s="169">
        <v>1404.4420071291474</v>
      </c>
      <c r="M84" s="170">
        <f>Table156[[#This Row],[Land Unit Rate ($/m2)]]*Table156[[#This Row],[Size of land (m2) (*)]]</f>
        <v>842665.20427748852</v>
      </c>
      <c r="N84" s="117">
        <v>2021</v>
      </c>
      <c r="O84" s="117">
        <f>IFERROR(('General Input Sheet'!$G$38/(VLOOKUP(N84,'General Input Sheet'!$E$38:$G$48,3,FALSE))),1)</f>
        <v>1</v>
      </c>
      <c r="P84" s="200">
        <f t="shared" si="20"/>
        <v>925665.20427748852</v>
      </c>
      <c r="Q84" s="57" t="str">
        <f t="shared" si="19"/>
        <v/>
      </c>
      <c r="R84" s="57" t="str">
        <f t="shared" si="19"/>
        <v/>
      </c>
      <c r="S84" s="57" t="str">
        <f t="shared" si="19"/>
        <v/>
      </c>
      <c r="T84" s="57" t="str">
        <f t="shared" si="19"/>
        <v/>
      </c>
      <c r="U84" s="100" t="str">
        <f t="shared" si="19"/>
        <v>y</v>
      </c>
      <c r="V84" s="115"/>
      <c r="W84" s="201" t="str">
        <f t="shared" si="21"/>
        <v/>
      </c>
      <c r="X84" s="202" t="str">
        <f t="shared" si="22"/>
        <v/>
      </c>
      <c r="Y84" s="202" t="str">
        <f t="shared" si="23"/>
        <v/>
      </c>
      <c r="Z84" s="202" t="str">
        <f t="shared" si="24"/>
        <v/>
      </c>
      <c r="AA84" s="202">
        <f t="shared" si="25"/>
        <v>1</v>
      </c>
      <c r="AB84" s="61">
        <f t="shared" si="26"/>
        <v>1</v>
      </c>
      <c r="AD84" s="285" t="str">
        <f t="shared" si="27"/>
        <v/>
      </c>
      <c r="AE84" s="286" t="str">
        <f t="shared" si="28"/>
        <v/>
      </c>
      <c r="AF84" s="286" t="str">
        <f t="shared" si="29"/>
        <v/>
      </c>
      <c r="AG84" s="286" t="str">
        <f t="shared" si="30"/>
        <v/>
      </c>
      <c r="AH84" s="288">
        <f t="shared" si="31"/>
        <v>925665.20427748852</v>
      </c>
    </row>
    <row r="85" spans="2:34">
      <c r="B85" s="219" t="s">
        <v>330</v>
      </c>
      <c r="C85" s="166" t="s">
        <v>237</v>
      </c>
      <c r="D85" s="166" t="s">
        <v>104</v>
      </c>
      <c r="E85" s="166" t="s">
        <v>118</v>
      </c>
      <c r="F85" s="166" t="s">
        <v>271</v>
      </c>
      <c r="G85" s="164">
        <v>56000</v>
      </c>
      <c r="H85" s="167">
        <v>700</v>
      </c>
      <c r="I85" s="165">
        <v>45</v>
      </c>
      <c r="J85" s="168">
        <f>Table156[[#This Row],[Construction Unit Rate ($/m)]]*Table156[[#This Row],[Area size (m2)]]+Table156[[#This Row],[Utility allowance ($56,000/site)]]</f>
        <v>87500</v>
      </c>
      <c r="K85" s="167">
        <v>700</v>
      </c>
      <c r="L85" s="169">
        <v>1705.6277056277058</v>
      </c>
      <c r="M85" s="170">
        <f>Table156[[#This Row],[Land Unit Rate ($/m2)]]*Table156[[#This Row],[Size of land (m2) (*)]]</f>
        <v>1193939.393939394</v>
      </c>
      <c r="N85" s="117">
        <v>2021</v>
      </c>
      <c r="O85" s="117">
        <f>IFERROR(('General Input Sheet'!$G$38/(VLOOKUP(N85,'General Input Sheet'!$E$38:$G$48,3,FALSE))),1)</f>
        <v>1</v>
      </c>
      <c r="P85" s="200">
        <f t="shared" si="20"/>
        <v>1281439.393939394</v>
      </c>
      <c r="Q85" s="57" t="str">
        <f t="shared" si="19"/>
        <v/>
      </c>
      <c r="R85" s="57" t="str">
        <f t="shared" si="19"/>
        <v/>
      </c>
      <c r="S85" s="57" t="str">
        <f t="shared" si="19"/>
        <v>y</v>
      </c>
      <c r="T85" s="57" t="str">
        <f t="shared" si="19"/>
        <v/>
      </c>
      <c r="U85" s="100" t="str">
        <f t="shared" si="19"/>
        <v/>
      </c>
      <c r="V85" s="115"/>
      <c r="W85" s="201" t="str">
        <f t="shared" si="21"/>
        <v/>
      </c>
      <c r="X85" s="202" t="str">
        <f t="shared" si="22"/>
        <v/>
      </c>
      <c r="Y85" s="202">
        <f t="shared" si="23"/>
        <v>1</v>
      </c>
      <c r="Z85" s="202" t="str">
        <f t="shared" si="24"/>
        <v/>
      </c>
      <c r="AA85" s="202" t="str">
        <f t="shared" si="25"/>
        <v/>
      </c>
      <c r="AB85" s="61">
        <f t="shared" si="26"/>
        <v>1</v>
      </c>
      <c r="AD85" s="285" t="str">
        <f t="shared" si="27"/>
        <v/>
      </c>
      <c r="AE85" s="286" t="str">
        <f t="shared" si="28"/>
        <v/>
      </c>
      <c r="AF85" s="286">
        <f t="shared" si="29"/>
        <v>1281439.393939394</v>
      </c>
      <c r="AG85" s="286" t="str">
        <f t="shared" si="30"/>
        <v/>
      </c>
      <c r="AH85" s="288" t="str">
        <f t="shared" si="31"/>
        <v/>
      </c>
    </row>
    <row r="86" spans="2:34">
      <c r="B86" s="219" t="s">
        <v>355</v>
      </c>
      <c r="C86" s="166" t="s">
        <v>238</v>
      </c>
      <c r="D86" s="166" t="s">
        <v>104</v>
      </c>
      <c r="E86" s="166" t="s">
        <v>118</v>
      </c>
      <c r="F86" s="166" t="s">
        <v>246</v>
      </c>
      <c r="G86" s="164">
        <v>56000</v>
      </c>
      <c r="H86" s="167">
        <v>1600</v>
      </c>
      <c r="I86" s="165">
        <v>45</v>
      </c>
      <c r="J86" s="168">
        <f>Table156[[#This Row],[Construction Unit Rate ($/m)]]*Table156[[#This Row],[Area size (m2)]]+Table156[[#This Row],[Utility allowance ($56,000/site)]]</f>
        <v>128000</v>
      </c>
      <c r="K86" s="167">
        <v>1600</v>
      </c>
      <c r="L86" s="169">
        <v>2558.4415584415588</v>
      </c>
      <c r="M86" s="170">
        <f>Table156[[#This Row],[Land Unit Rate ($/m2)]]*Table156[[#This Row],[Size of land (m2) (*)]]</f>
        <v>4093506.493506494</v>
      </c>
      <c r="N86" s="117">
        <v>2021</v>
      </c>
      <c r="O86" s="117">
        <f>IFERROR(('General Input Sheet'!$G$38/(VLOOKUP(N86,'General Input Sheet'!$E$38:$G$48,3,FALSE))),1)</f>
        <v>1</v>
      </c>
      <c r="P86" s="200">
        <f t="shared" si="20"/>
        <v>4221506.493506494</v>
      </c>
      <c r="Q86" s="57" t="str">
        <f t="shared" si="19"/>
        <v/>
      </c>
      <c r="R86" s="57" t="str">
        <f t="shared" si="19"/>
        <v/>
      </c>
      <c r="S86" s="57" t="str">
        <f t="shared" si="19"/>
        <v>y</v>
      </c>
      <c r="T86" s="57" t="str">
        <f t="shared" si="19"/>
        <v/>
      </c>
      <c r="U86" s="100" t="str">
        <f t="shared" si="19"/>
        <v/>
      </c>
      <c r="V86" s="115"/>
      <c r="W86" s="201" t="str">
        <f t="shared" si="21"/>
        <v/>
      </c>
      <c r="X86" s="202" t="str">
        <f t="shared" si="22"/>
        <v/>
      </c>
      <c r="Y86" s="202">
        <f t="shared" si="23"/>
        <v>1</v>
      </c>
      <c r="Z86" s="202" t="str">
        <f t="shared" si="24"/>
        <v/>
      </c>
      <c r="AA86" s="202" t="str">
        <f t="shared" si="25"/>
        <v/>
      </c>
      <c r="AB86" s="61">
        <f t="shared" si="26"/>
        <v>1</v>
      </c>
      <c r="AD86" s="285" t="str">
        <f t="shared" si="27"/>
        <v/>
      </c>
      <c r="AE86" s="286" t="str">
        <f t="shared" si="28"/>
        <v/>
      </c>
      <c r="AF86" s="286">
        <f t="shared" si="29"/>
        <v>4221506.493506494</v>
      </c>
      <c r="AG86" s="286" t="str">
        <f t="shared" si="30"/>
        <v/>
      </c>
      <c r="AH86" s="288" t="str">
        <f t="shared" si="31"/>
        <v/>
      </c>
    </row>
    <row r="87" spans="2:34">
      <c r="B87" s="219" t="s">
        <v>356</v>
      </c>
      <c r="C87" s="166" t="s">
        <v>239</v>
      </c>
      <c r="D87" s="166" t="s">
        <v>104</v>
      </c>
      <c r="E87" s="166" t="s">
        <v>118</v>
      </c>
      <c r="F87" s="166" t="s">
        <v>246</v>
      </c>
      <c r="G87" s="164">
        <v>56000</v>
      </c>
      <c r="H87" s="167">
        <v>1200</v>
      </c>
      <c r="I87" s="165">
        <v>45</v>
      </c>
      <c r="J87" s="168">
        <f>Table156[[#This Row],[Construction Unit Rate ($/m)]]*Table156[[#This Row],[Area size (m2)]]+Table156[[#This Row],[Utility allowance ($56,000/site)]]</f>
        <v>110000</v>
      </c>
      <c r="K87" s="167">
        <v>1200</v>
      </c>
      <c r="L87" s="169">
        <v>2558.4415584415588</v>
      </c>
      <c r="M87" s="170">
        <f>Table156[[#This Row],[Land Unit Rate ($/m2)]]*Table156[[#This Row],[Size of land (m2) (*)]]</f>
        <v>3070129.8701298707</v>
      </c>
      <c r="N87" s="117">
        <v>2021</v>
      </c>
      <c r="O87" s="117">
        <f>IFERROR(('General Input Sheet'!$G$38/(VLOOKUP(N87,'General Input Sheet'!$E$38:$G$48,3,FALSE))),1)</f>
        <v>1</v>
      </c>
      <c r="P87" s="200">
        <f t="shared" si="20"/>
        <v>3180129.8701298707</v>
      </c>
      <c r="Q87" s="57" t="str">
        <f t="shared" si="19"/>
        <v/>
      </c>
      <c r="R87" s="57" t="str">
        <f t="shared" si="19"/>
        <v/>
      </c>
      <c r="S87" s="57" t="str">
        <f t="shared" si="19"/>
        <v>y</v>
      </c>
      <c r="T87" s="57" t="str">
        <f t="shared" si="19"/>
        <v/>
      </c>
      <c r="U87" s="100" t="str">
        <f t="shared" si="19"/>
        <v/>
      </c>
      <c r="V87" s="115"/>
      <c r="W87" s="201" t="str">
        <f t="shared" si="21"/>
        <v/>
      </c>
      <c r="X87" s="202" t="str">
        <f t="shared" si="22"/>
        <v/>
      </c>
      <c r="Y87" s="202">
        <f t="shared" si="23"/>
        <v>1</v>
      </c>
      <c r="Z87" s="202" t="str">
        <f t="shared" si="24"/>
        <v/>
      </c>
      <c r="AA87" s="202" t="str">
        <f t="shared" si="25"/>
        <v/>
      </c>
      <c r="AB87" s="61">
        <f t="shared" si="26"/>
        <v>1</v>
      </c>
      <c r="AD87" s="285" t="str">
        <f t="shared" si="27"/>
        <v/>
      </c>
      <c r="AE87" s="286" t="str">
        <f t="shared" si="28"/>
        <v/>
      </c>
      <c r="AF87" s="286">
        <f t="shared" si="29"/>
        <v>3180129.8701298707</v>
      </c>
      <c r="AG87" s="286" t="str">
        <f t="shared" si="30"/>
        <v/>
      </c>
      <c r="AH87" s="288" t="str">
        <f t="shared" si="31"/>
        <v/>
      </c>
    </row>
    <row r="88" spans="2:34">
      <c r="B88" s="219" t="s">
        <v>156</v>
      </c>
      <c r="C88" s="166" t="s">
        <v>240</v>
      </c>
      <c r="D88" s="166" t="s">
        <v>104</v>
      </c>
      <c r="E88" s="166" t="s">
        <v>117</v>
      </c>
      <c r="F88" s="166" t="s">
        <v>319</v>
      </c>
      <c r="G88" s="164">
        <v>56000</v>
      </c>
      <c r="H88" s="167">
        <v>400</v>
      </c>
      <c r="I88" s="165">
        <v>45</v>
      </c>
      <c r="J88" s="168">
        <f>Table156[[#This Row],[Construction Unit Rate ($/m)]]*Table156[[#This Row],[Area size (m2)]]+Table156[[#This Row],[Utility allowance ($56,000/site)]]</f>
        <v>74000</v>
      </c>
      <c r="K88" s="167">
        <v>400</v>
      </c>
      <c r="L88" s="169">
        <v>1228.0519480519481</v>
      </c>
      <c r="M88" s="170">
        <f>Table156[[#This Row],[Land Unit Rate ($/m2)]]*Table156[[#This Row],[Size of land (m2) (*)]]</f>
        <v>491220.77922077925</v>
      </c>
      <c r="N88" s="117">
        <v>2021</v>
      </c>
      <c r="O88" s="117">
        <f>IFERROR(('General Input Sheet'!$G$38/(VLOOKUP(N88,'General Input Sheet'!$E$38:$G$48,3,FALSE))),1)</f>
        <v>1</v>
      </c>
      <c r="P88" s="200">
        <f t="shared" si="20"/>
        <v>565220.77922077919</v>
      </c>
      <c r="Q88" s="57" t="str">
        <f t="shared" si="19"/>
        <v/>
      </c>
      <c r="R88" s="57" t="str">
        <f t="shared" si="19"/>
        <v>y</v>
      </c>
      <c r="S88" s="57" t="str">
        <f t="shared" si="19"/>
        <v/>
      </c>
      <c r="T88" s="57" t="str">
        <f t="shared" si="19"/>
        <v/>
      </c>
      <c r="U88" s="100" t="str">
        <f t="shared" si="19"/>
        <v/>
      </c>
      <c r="V88" s="115"/>
      <c r="W88" s="201" t="str">
        <f t="shared" si="21"/>
        <v/>
      </c>
      <c r="X88" s="202">
        <f t="shared" si="22"/>
        <v>1</v>
      </c>
      <c r="Y88" s="202" t="str">
        <f t="shared" si="23"/>
        <v/>
      </c>
      <c r="Z88" s="202" t="str">
        <f t="shared" si="24"/>
        <v/>
      </c>
      <c r="AA88" s="202" t="str">
        <f t="shared" si="25"/>
        <v/>
      </c>
      <c r="AB88" s="61">
        <f t="shared" si="26"/>
        <v>1</v>
      </c>
      <c r="AD88" s="285" t="str">
        <f t="shared" si="27"/>
        <v/>
      </c>
      <c r="AE88" s="286">
        <f t="shared" si="28"/>
        <v>565220.77922077919</v>
      </c>
      <c r="AF88" s="286" t="str">
        <f t="shared" si="29"/>
        <v/>
      </c>
      <c r="AG88" s="286" t="str">
        <f t="shared" si="30"/>
        <v/>
      </c>
      <c r="AH88" s="288" t="str">
        <f t="shared" si="31"/>
        <v/>
      </c>
    </row>
    <row r="89" spans="2:34">
      <c r="B89" s="219" t="s">
        <v>149</v>
      </c>
      <c r="C89" s="166" t="s">
        <v>241</v>
      </c>
      <c r="D89" s="166" t="s">
        <v>104</v>
      </c>
      <c r="E89" s="166" t="s">
        <v>120</v>
      </c>
      <c r="F89" s="166" t="s">
        <v>320</v>
      </c>
      <c r="G89" s="164">
        <v>56000</v>
      </c>
      <c r="H89" s="167">
        <v>100</v>
      </c>
      <c r="I89" s="165">
        <v>45</v>
      </c>
      <c r="J89" s="168">
        <f>Table156[[#This Row],[Construction Unit Rate ($/m)]]*Table156[[#This Row],[Area size (m2)]]+Table156[[#This Row],[Utility allowance ($56,000/site)]]</f>
        <v>60500</v>
      </c>
      <c r="K89" s="167">
        <v>100</v>
      </c>
      <c r="L89" s="169">
        <v>2558.4415584415588</v>
      </c>
      <c r="M89" s="170">
        <f>Table156[[#This Row],[Land Unit Rate ($/m2)]]*Table156[[#This Row],[Size of land (m2) (*)]]</f>
        <v>255844.15584415587</v>
      </c>
      <c r="N89" s="117">
        <v>2021</v>
      </c>
      <c r="O89" s="117">
        <f>IFERROR(('General Input Sheet'!$G$38/(VLOOKUP(N89,'General Input Sheet'!$E$38:$G$48,3,FALSE))),1)</f>
        <v>1</v>
      </c>
      <c r="P89" s="65">
        <f t="shared" si="20"/>
        <v>316344.15584415587</v>
      </c>
      <c r="Q89" s="57" t="str">
        <f t="shared" si="19"/>
        <v/>
      </c>
      <c r="R89" s="57" t="str">
        <f t="shared" si="19"/>
        <v/>
      </c>
      <c r="S89" s="57" t="str">
        <f t="shared" si="19"/>
        <v/>
      </c>
      <c r="T89" s="57" t="str">
        <f t="shared" si="19"/>
        <v/>
      </c>
      <c r="U89" s="100" t="str">
        <f t="shared" si="19"/>
        <v>y</v>
      </c>
      <c r="V89" s="115"/>
      <c r="W89" s="201" t="str">
        <f t="shared" si="21"/>
        <v/>
      </c>
      <c r="X89" s="202" t="str">
        <f t="shared" si="22"/>
        <v/>
      </c>
      <c r="Y89" s="202" t="str">
        <f t="shared" si="23"/>
        <v/>
      </c>
      <c r="Z89" s="202" t="str">
        <f t="shared" si="24"/>
        <v/>
      </c>
      <c r="AA89" s="202">
        <f t="shared" si="25"/>
        <v>1</v>
      </c>
      <c r="AB89" s="61">
        <f t="shared" si="26"/>
        <v>1</v>
      </c>
      <c r="AD89" s="285" t="str">
        <f t="shared" si="27"/>
        <v/>
      </c>
      <c r="AE89" s="286" t="str">
        <f t="shared" si="28"/>
        <v/>
      </c>
      <c r="AF89" s="286" t="str">
        <f t="shared" si="29"/>
        <v/>
      </c>
      <c r="AG89" s="286" t="str">
        <f t="shared" si="30"/>
        <v/>
      </c>
      <c r="AH89" s="288">
        <f t="shared" si="31"/>
        <v>316344.15584415587</v>
      </c>
    </row>
    <row r="90" spans="2:34">
      <c r="B90" s="219" t="s">
        <v>357</v>
      </c>
      <c r="C90" s="166" t="s">
        <v>242</v>
      </c>
      <c r="D90" s="166" t="s">
        <v>104</v>
      </c>
      <c r="E90" s="166" t="s">
        <v>119</v>
      </c>
      <c r="F90" s="166" t="s">
        <v>321</v>
      </c>
      <c r="G90" s="164">
        <v>56000</v>
      </c>
      <c r="H90" s="167">
        <v>100</v>
      </c>
      <c r="I90" s="165">
        <v>45</v>
      </c>
      <c r="J90" s="168">
        <f>Table156[[#This Row],[Construction Unit Rate ($/m)]]*Table156[[#This Row],[Area size (m2)]]+Table156[[#This Row],[Utility allowance ($56,000/site)]]</f>
        <v>60500</v>
      </c>
      <c r="K90" s="167">
        <v>100</v>
      </c>
      <c r="L90" s="169">
        <v>2558.4415584415588</v>
      </c>
      <c r="M90" s="170">
        <f>Table156[[#This Row],[Land Unit Rate ($/m2)]]*Table156[[#This Row],[Size of land (m2) (*)]]</f>
        <v>255844.15584415587</v>
      </c>
      <c r="N90" s="117">
        <v>2021</v>
      </c>
      <c r="O90" s="117">
        <f>IFERROR(('General Input Sheet'!$G$38/(VLOOKUP(N90,'General Input Sheet'!$E$38:$G$48,3,FALSE))),1)</f>
        <v>1</v>
      </c>
      <c r="P90" s="200">
        <f t="shared" si="20"/>
        <v>316344.15584415587</v>
      </c>
      <c r="Q90" s="57" t="str">
        <f t="shared" si="19"/>
        <v/>
      </c>
      <c r="R90" s="57" t="str">
        <f t="shared" si="19"/>
        <v/>
      </c>
      <c r="S90" s="57" t="str">
        <f t="shared" si="19"/>
        <v/>
      </c>
      <c r="T90" s="57" t="str">
        <f t="shared" si="19"/>
        <v>y</v>
      </c>
      <c r="U90" s="100" t="str">
        <f t="shared" si="19"/>
        <v/>
      </c>
      <c r="V90" s="115"/>
      <c r="W90" s="201" t="str">
        <f t="shared" si="21"/>
        <v/>
      </c>
      <c r="X90" s="202" t="str">
        <f t="shared" si="22"/>
        <v/>
      </c>
      <c r="Y90" s="202" t="str">
        <f t="shared" si="23"/>
        <v/>
      </c>
      <c r="Z90" s="202">
        <f t="shared" si="24"/>
        <v>1</v>
      </c>
      <c r="AA90" s="202" t="str">
        <f t="shared" si="25"/>
        <v/>
      </c>
      <c r="AB90" s="61">
        <f t="shared" si="26"/>
        <v>1</v>
      </c>
      <c r="AD90" s="285" t="str">
        <f t="shared" si="27"/>
        <v/>
      </c>
      <c r="AE90" s="286" t="str">
        <f t="shared" si="28"/>
        <v/>
      </c>
      <c r="AF90" s="286" t="str">
        <f t="shared" si="29"/>
        <v/>
      </c>
      <c r="AG90" s="286">
        <f t="shared" si="30"/>
        <v>316344.15584415587</v>
      </c>
      <c r="AH90" s="288" t="str">
        <f t="shared" si="31"/>
        <v/>
      </c>
    </row>
    <row r="91" spans="2:34">
      <c r="B91" s="219" t="s">
        <v>144</v>
      </c>
      <c r="C91" s="166" t="s">
        <v>243</v>
      </c>
      <c r="D91" s="166" t="s">
        <v>104</v>
      </c>
      <c r="E91" s="166" t="s">
        <v>118</v>
      </c>
      <c r="F91" s="166" t="s">
        <v>322</v>
      </c>
      <c r="G91" s="164">
        <v>56000</v>
      </c>
      <c r="H91" s="167">
        <v>500</v>
      </c>
      <c r="I91" s="165">
        <v>45</v>
      </c>
      <c r="J91" s="168">
        <f>Table156[[#This Row],[Construction Unit Rate ($/m)]]*Table156[[#This Row],[Area size (m2)]]+Table156[[#This Row],[Utility allowance ($56,000/site)]]</f>
        <v>78500</v>
      </c>
      <c r="K91" s="167">
        <v>500</v>
      </c>
      <c r="L91" s="169">
        <v>12280.519480519482</v>
      </c>
      <c r="M91" s="170">
        <f>Table156[[#This Row],[Land Unit Rate ($/m2)]]*Table156[[#This Row],[Size of land (m2) (*)]]</f>
        <v>6140259.7402597414</v>
      </c>
      <c r="N91" s="117">
        <v>2021</v>
      </c>
      <c r="O91" s="117">
        <f>IFERROR(('General Input Sheet'!$G$38/(VLOOKUP(N91,'General Input Sheet'!$E$38:$G$48,3,FALSE))),1)</f>
        <v>1</v>
      </c>
      <c r="P91" s="200">
        <f t="shared" si="20"/>
        <v>6218759.7402597414</v>
      </c>
      <c r="Q91" s="57" t="str">
        <f t="shared" si="19"/>
        <v/>
      </c>
      <c r="R91" s="57" t="str">
        <f t="shared" si="19"/>
        <v/>
      </c>
      <c r="S91" s="57" t="str">
        <f t="shared" si="19"/>
        <v>y</v>
      </c>
      <c r="T91" s="57" t="str">
        <f t="shared" si="19"/>
        <v/>
      </c>
      <c r="U91" s="100" t="str">
        <f t="shared" si="19"/>
        <v/>
      </c>
      <c r="V91" s="115"/>
      <c r="W91" s="201" t="str">
        <f t="shared" si="21"/>
        <v/>
      </c>
      <c r="X91" s="202" t="str">
        <f t="shared" si="22"/>
        <v/>
      </c>
      <c r="Y91" s="202">
        <f t="shared" si="23"/>
        <v>1</v>
      </c>
      <c r="Z91" s="202" t="str">
        <f t="shared" si="24"/>
        <v/>
      </c>
      <c r="AA91" s="202" t="str">
        <f t="shared" si="25"/>
        <v/>
      </c>
      <c r="AB91" s="61">
        <f t="shared" si="26"/>
        <v>1</v>
      </c>
      <c r="AD91" s="285" t="str">
        <f t="shared" si="27"/>
        <v/>
      </c>
      <c r="AE91" s="286" t="str">
        <f t="shared" si="28"/>
        <v/>
      </c>
      <c r="AF91" s="286">
        <f t="shared" si="29"/>
        <v>6218759.7402597414</v>
      </c>
      <c r="AG91" s="286" t="str">
        <f t="shared" si="30"/>
        <v/>
      </c>
      <c r="AH91" s="288" t="str">
        <f t="shared" si="31"/>
        <v/>
      </c>
    </row>
    <row r="92" spans="2:34" ht="17.25" thickBot="1">
      <c r="B92" s="242" t="s">
        <v>144</v>
      </c>
      <c r="C92" s="243" t="s">
        <v>244</v>
      </c>
      <c r="D92" s="243" t="s">
        <v>104</v>
      </c>
      <c r="E92" s="243" t="s">
        <v>118</v>
      </c>
      <c r="F92" s="243" t="s">
        <v>323</v>
      </c>
      <c r="G92" s="244">
        <v>56000</v>
      </c>
      <c r="H92" s="245">
        <v>1000</v>
      </c>
      <c r="I92" s="246">
        <v>45</v>
      </c>
      <c r="J92" s="247">
        <f>Table156[[#This Row],[Construction Unit Rate ($/m)]]*Table156[[#This Row],[Area size (m2)]]+Table156[[#This Row],[Utility allowance ($56,000/site)]]</f>
        <v>101000</v>
      </c>
      <c r="K92" s="245">
        <v>1000</v>
      </c>
      <c r="L92" s="248">
        <v>12280.519480519482</v>
      </c>
      <c r="M92" s="249">
        <f>Table156[[#This Row],[Land Unit Rate ($/m2)]]*Table156[[#This Row],[Size of land (m2) (*)]]</f>
        <v>12280519.480519483</v>
      </c>
      <c r="N92" s="250">
        <v>2021</v>
      </c>
      <c r="O92" s="250">
        <f>IFERROR(('General Input Sheet'!$G$38/(VLOOKUP(N92,'General Input Sheet'!$E$38:$G$48,3,FALSE))),1)</f>
        <v>1</v>
      </c>
      <c r="P92" s="251">
        <f t="shared" si="20"/>
        <v>12381519.480519483</v>
      </c>
      <c r="Q92" s="75" t="str">
        <f t="shared" si="19"/>
        <v/>
      </c>
      <c r="R92" s="75" t="str">
        <f t="shared" si="19"/>
        <v/>
      </c>
      <c r="S92" s="75" t="str">
        <f t="shared" si="19"/>
        <v>y</v>
      </c>
      <c r="T92" s="75" t="str">
        <f t="shared" si="19"/>
        <v/>
      </c>
      <c r="U92" s="116" t="str">
        <f t="shared" si="19"/>
        <v/>
      </c>
      <c r="V92" s="115"/>
      <c r="W92" s="201" t="str">
        <f t="shared" si="21"/>
        <v/>
      </c>
      <c r="X92" s="202" t="str">
        <f t="shared" si="22"/>
        <v/>
      </c>
      <c r="Y92" s="202">
        <f t="shared" si="23"/>
        <v>1</v>
      </c>
      <c r="Z92" s="202" t="str">
        <f t="shared" si="24"/>
        <v/>
      </c>
      <c r="AA92" s="202" t="str">
        <f t="shared" si="25"/>
        <v/>
      </c>
      <c r="AB92" s="61">
        <f t="shared" si="26"/>
        <v>1</v>
      </c>
      <c r="AD92" s="285" t="str">
        <f t="shared" si="27"/>
        <v/>
      </c>
      <c r="AE92" s="286" t="str">
        <f t="shared" si="28"/>
        <v/>
      </c>
      <c r="AF92" s="286">
        <f t="shared" si="29"/>
        <v>12381519.480519483</v>
      </c>
      <c r="AG92" s="286" t="str">
        <f t="shared" si="30"/>
        <v/>
      </c>
      <c r="AH92" s="288" t="str">
        <f t="shared" si="31"/>
        <v/>
      </c>
    </row>
    <row r="93" spans="2:34" s="33" customFormat="1" ht="17.25" thickBot="1">
      <c r="H93" s="42"/>
      <c r="J93" s="228">
        <f>SUM(J13:J92)</f>
        <v>14135790</v>
      </c>
      <c r="M93" s="228">
        <f>SUM(M12:M92)</f>
        <v>697347051.57812774</v>
      </c>
      <c r="P93" s="228">
        <f>SUM(P13:P92)</f>
        <v>711482841.57812774</v>
      </c>
      <c r="W93" s="59"/>
      <c r="X93" s="59"/>
      <c r="Y93" s="59"/>
      <c r="Z93" s="59"/>
      <c r="AA93" s="105"/>
      <c r="AB93" s="40"/>
      <c r="AD93" s="42"/>
      <c r="AE93" s="42"/>
      <c r="AF93" s="42"/>
      <c r="AG93" s="42"/>
    </row>
    <row r="94" spans="2:34" s="33" customFormat="1">
      <c r="H94" s="42"/>
      <c r="K94" s="42"/>
      <c r="M94" s="55"/>
      <c r="P94" s="55"/>
      <c r="W94" s="59"/>
      <c r="X94" s="59"/>
      <c r="Y94" s="59"/>
      <c r="Z94" s="59"/>
      <c r="AA94" s="105"/>
      <c r="AB94" s="40"/>
      <c r="AD94" s="42"/>
      <c r="AE94" s="42"/>
      <c r="AF94" s="42"/>
      <c r="AG94" s="42"/>
    </row>
    <row r="95" spans="2:34" s="33" customFormat="1">
      <c r="H95" s="42"/>
      <c r="K95" s="42"/>
      <c r="M95" s="55"/>
      <c r="P95" s="55"/>
      <c r="W95" s="59"/>
      <c r="X95" s="59"/>
      <c r="Y95" s="59"/>
      <c r="Z95" s="59"/>
      <c r="AA95" s="105"/>
      <c r="AB95" s="40"/>
      <c r="AD95" s="42"/>
      <c r="AE95" s="42"/>
      <c r="AF95" s="42"/>
      <c r="AG95" s="42"/>
    </row>
    <row r="96" spans="2:34" s="33" customFormat="1">
      <c r="H96" s="42"/>
      <c r="K96" s="42"/>
      <c r="M96" s="55"/>
      <c r="P96" s="55"/>
      <c r="W96" s="59"/>
      <c r="X96" s="59"/>
      <c r="Y96" s="59"/>
      <c r="Z96" s="59"/>
      <c r="AA96" s="105"/>
      <c r="AB96" s="40"/>
      <c r="AD96" s="42"/>
      <c r="AE96" s="42"/>
      <c r="AF96" s="42"/>
      <c r="AG96" s="42"/>
    </row>
    <row r="97" spans="8:33" s="33" customFormat="1">
      <c r="H97" s="42"/>
      <c r="K97" s="42"/>
      <c r="M97" s="55"/>
      <c r="P97" s="55"/>
      <c r="W97" s="59"/>
      <c r="X97" s="59"/>
      <c r="Y97" s="59"/>
      <c r="Z97" s="59"/>
      <c r="AA97" s="105"/>
      <c r="AB97" s="40"/>
      <c r="AD97" s="42"/>
      <c r="AE97" s="42"/>
      <c r="AF97" s="42"/>
      <c r="AG97" s="42"/>
    </row>
    <row r="98" spans="8:33" s="33" customFormat="1">
      <c r="H98" s="42"/>
      <c r="K98" s="42"/>
      <c r="M98" s="55"/>
      <c r="P98" s="55"/>
      <c r="W98" s="59"/>
      <c r="X98" s="59"/>
      <c r="Y98" s="59"/>
      <c r="Z98" s="59"/>
      <c r="AA98" s="105"/>
      <c r="AB98" s="40"/>
      <c r="AD98" s="42"/>
      <c r="AE98" s="42"/>
      <c r="AF98" s="42"/>
      <c r="AG98" s="42"/>
    </row>
    <row r="99" spans="8:33" s="33" customFormat="1">
      <c r="H99" s="42"/>
      <c r="K99" s="42"/>
      <c r="M99" s="55"/>
      <c r="P99" s="55"/>
      <c r="W99" s="59"/>
      <c r="X99" s="59"/>
      <c r="Y99" s="59"/>
      <c r="Z99" s="59"/>
      <c r="AA99" s="105"/>
      <c r="AB99" s="40"/>
      <c r="AD99" s="42"/>
      <c r="AE99" s="42"/>
      <c r="AF99" s="42"/>
      <c r="AG99" s="42"/>
    </row>
    <row r="100" spans="8:33" s="33" customFormat="1">
      <c r="H100" s="42"/>
      <c r="K100" s="42"/>
      <c r="M100" s="55"/>
      <c r="P100" s="55"/>
      <c r="W100" s="59"/>
      <c r="X100" s="59"/>
      <c r="Y100" s="59"/>
      <c r="Z100" s="59"/>
      <c r="AA100" s="105"/>
      <c r="AB100" s="40"/>
      <c r="AD100" s="42"/>
      <c r="AE100" s="42"/>
      <c r="AF100" s="42"/>
      <c r="AG100" s="42"/>
    </row>
    <row r="101" spans="8:33" s="33" customFormat="1">
      <c r="H101" s="42"/>
      <c r="K101" s="42"/>
      <c r="M101" s="55"/>
      <c r="P101" s="55"/>
      <c r="W101" s="59"/>
      <c r="X101" s="59"/>
      <c r="Y101" s="59"/>
      <c r="Z101" s="59"/>
      <c r="AA101" s="105"/>
      <c r="AB101" s="40"/>
      <c r="AD101" s="42"/>
      <c r="AE101" s="42"/>
      <c r="AF101" s="42"/>
      <c r="AG101" s="42"/>
    </row>
    <row r="102" spans="8:33" s="33" customFormat="1">
      <c r="H102" s="42"/>
      <c r="K102" s="42"/>
      <c r="M102" s="55"/>
      <c r="P102" s="55"/>
      <c r="W102" s="59"/>
      <c r="X102" s="59"/>
      <c r="Y102" s="59"/>
      <c r="Z102" s="59"/>
      <c r="AA102" s="105"/>
      <c r="AB102" s="40"/>
      <c r="AD102" s="42"/>
      <c r="AE102" s="42"/>
      <c r="AF102" s="42"/>
      <c r="AG102" s="42"/>
    </row>
    <row r="103" spans="8:33" s="33" customFormat="1">
      <c r="H103" s="42"/>
      <c r="K103" s="42"/>
      <c r="M103" s="55"/>
      <c r="P103" s="55"/>
      <c r="W103" s="59"/>
      <c r="X103" s="59"/>
      <c r="Y103" s="59"/>
      <c r="Z103" s="59"/>
      <c r="AA103" s="105"/>
      <c r="AB103" s="40"/>
      <c r="AD103" s="42"/>
      <c r="AE103" s="42"/>
      <c r="AF103" s="42"/>
      <c r="AG103" s="42"/>
    </row>
    <row r="104" spans="8:33" s="33" customFormat="1">
      <c r="H104" s="42"/>
      <c r="K104" s="42"/>
      <c r="M104" s="55"/>
      <c r="P104" s="55"/>
      <c r="W104" s="59"/>
      <c r="X104" s="59"/>
      <c r="Y104" s="59"/>
      <c r="Z104" s="59"/>
      <c r="AA104" s="105"/>
      <c r="AB104" s="40"/>
      <c r="AD104" s="42"/>
      <c r="AE104" s="42"/>
      <c r="AF104" s="42"/>
      <c r="AG104" s="42"/>
    </row>
    <row r="105" spans="8:33" s="33" customFormat="1">
      <c r="H105" s="42"/>
      <c r="K105" s="42"/>
      <c r="M105" s="55"/>
      <c r="P105" s="55"/>
      <c r="W105" s="59"/>
      <c r="X105" s="59"/>
      <c r="Y105" s="59"/>
      <c r="Z105" s="59"/>
      <c r="AA105" s="105"/>
      <c r="AB105" s="40"/>
      <c r="AD105" s="42"/>
      <c r="AE105" s="42"/>
      <c r="AF105" s="42"/>
      <c r="AG105" s="42"/>
    </row>
    <row r="106" spans="8:33" s="33" customFormat="1">
      <c r="H106" s="42"/>
      <c r="K106" s="42"/>
      <c r="M106" s="55"/>
      <c r="P106" s="55"/>
      <c r="W106" s="59"/>
      <c r="X106" s="59"/>
      <c r="Y106" s="59"/>
      <c r="Z106" s="59"/>
      <c r="AA106" s="105"/>
      <c r="AB106" s="40"/>
      <c r="AD106" s="42"/>
      <c r="AE106" s="42"/>
      <c r="AF106" s="42"/>
      <c r="AG106" s="42"/>
    </row>
    <row r="107" spans="8:33" s="33" customFormat="1">
      <c r="H107" s="42"/>
      <c r="K107" s="42"/>
      <c r="M107" s="55"/>
      <c r="P107" s="55"/>
      <c r="W107" s="59"/>
      <c r="X107" s="59"/>
      <c r="Y107" s="59"/>
      <c r="Z107" s="59"/>
      <c r="AA107" s="105"/>
      <c r="AB107" s="40"/>
      <c r="AD107" s="42"/>
      <c r="AE107" s="42"/>
      <c r="AF107" s="42"/>
      <c r="AG107" s="42"/>
    </row>
    <row r="108" spans="8:33" s="33" customFormat="1">
      <c r="H108" s="42"/>
      <c r="K108" s="42"/>
      <c r="M108" s="55"/>
      <c r="P108" s="55"/>
      <c r="W108" s="59"/>
      <c r="X108" s="59"/>
      <c r="Y108" s="59"/>
      <c r="Z108" s="59"/>
      <c r="AA108" s="105"/>
      <c r="AB108" s="40"/>
      <c r="AD108" s="42"/>
      <c r="AE108" s="42"/>
      <c r="AF108" s="42"/>
      <c r="AG108" s="42"/>
    </row>
    <row r="109" spans="8:33" s="33" customFormat="1">
      <c r="H109" s="42"/>
      <c r="K109" s="42"/>
      <c r="M109" s="55"/>
      <c r="P109" s="55"/>
      <c r="W109" s="59"/>
      <c r="X109" s="59"/>
      <c r="Y109" s="59"/>
      <c r="Z109" s="59"/>
      <c r="AA109" s="105"/>
      <c r="AB109" s="40"/>
      <c r="AD109" s="42"/>
      <c r="AE109" s="42"/>
      <c r="AF109" s="42"/>
      <c r="AG109" s="42"/>
    </row>
    <row r="110" spans="8:33" s="33" customFormat="1">
      <c r="H110" s="42"/>
      <c r="K110" s="42"/>
      <c r="M110" s="55"/>
      <c r="P110" s="55"/>
      <c r="W110" s="59"/>
      <c r="X110" s="59"/>
      <c r="Y110" s="59"/>
      <c r="Z110" s="59"/>
      <c r="AA110" s="105"/>
      <c r="AB110" s="40"/>
      <c r="AD110" s="42"/>
      <c r="AE110" s="42"/>
      <c r="AF110" s="42"/>
      <c r="AG110" s="42"/>
    </row>
    <row r="111" spans="8:33" s="33" customFormat="1">
      <c r="H111" s="42"/>
      <c r="K111" s="42"/>
      <c r="M111" s="55"/>
      <c r="P111" s="55"/>
      <c r="W111" s="59"/>
      <c r="X111" s="59"/>
      <c r="Y111" s="59"/>
      <c r="Z111" s="59"/>
      <c r="AA111" s="105"/>
      <c r="AB111" s="40"/>
      <c r="AD111" s="42"/>
      <c r="AE111" s="42"/>
      <c r="AF111" s="42"/>
      <c r="AG111" s="42"/>
    </row>
    <row r="112" spans="8:33" s="33" customFormat="1">
      <c r="H112" s="42"/>
      <c r="K112" s="42"/>
      <c r="M112" s="55"/>
      <c r="P112" s="55"/>
      <c r="W112" s="59"/>
      <c r="X112" s="59"/>
      <c r="Y112" s="59"/>
      <c r="Z112" s="59"/>
      <c r="AA112" s="105"/>
      <c r="AB112" s="40"/>
      <c r="AD112" s="42"/>
      <c r="AE112" s="42"/>
      <c r="AF112" s="42"/>
      <c r="AG112" s="42"/>
    </row>
    <row r="113" spans="8:33" s="33" customFormat="1">
      <c r="H113" s="42"/>
      <c r="K113" s="42"/>
      <c r="M113" s="55"/>
      <c r="P113" s="55"/>
      <c r="W113" s="59"/>
      <c r="X113" s="59"/>
      <c r="Y113" s="59"/>
      <c r="Z113" s="59"/>
      <c r="AA113" s="105"/>
      <c r="AB113" s="40"/>
      <c r="AD113" s="42"/>
      <c r="AE113" s="42"/>
      <c r="AF113" s="42"/>
      <c r="AG113" s="42"/>
    </row>
    <row r="114" spans="8:33" s="33" customFormat="1">
      <c r="H114" s="42"/>
      <c r="K114" s="42"/>
      <c r="M114" s="55"/>
      <c r="P114" s="55"/>
      <c r="W114" s="59"/>
      <c r="X114" s="59"/>
      <c r="Y114" s="59"/>
      <c r="Z114" s="59"/>
      <c r="AA114" s="105"/>
      <c r="AB114" s="40"/>
      <c r="AD114" s="42"/>
      <c r="AE114" s="42"/>
      <c r="AF114" s="42"/>
      <c r="AG114" s="42"/>
    </row>
    <row r="115" spans="8:33" s="33" customFormat="1">
      <c r="H115" s="42"/>
      <c r="K115" s="42"/>
      <c r="M115" s="55"/>
      <c r="P115" s="55"/>
      <c r="W115" s="59"/>
      <c r="X115" s="59"/>
      <c r="Y115" s="59"/>
      <c r="Z115" s="59"/>
      <c r="AA115" s="105"/>
      <c r="AB115" s="40"/>
      <c r="AD115" s="42"/>
      <c r="AE115" s="42"/>
      <c r="AF115" s="42"/>
      <c r="AG115" s="42"/>
    </row>
    <row r="116" spans="8:33" s="33" customFormat="1">
      <c r="H116" s="42"/>
      <c r="K116" s="42"/>
      <c r="M116" s="55"/>
      <c r="P116" s="55"/>
      <c r="W116" s="59"/>
      <c r="X116" s="59"/>
      <c r="Y116" s="59"/>
      <c r="Z116" s="59"/>
      <c r="AA116" s="105"/>
      <c r="AB116" s="40"/>
      <c r="AD116" s="42"/>
      <c r="AE116" s="42"/>
      <c r="AF116" s="42"/>
      <c r="AG116" s="42"/>
    </row>
    <row r="117" spans="8:33" s="33" customFormat="1">
      <c r="H117" s="42"/>
      <c r="K117" s="42"/>
      <c r="M117" s="55"/>
      <c r="P117" s="55"/>
      <c r="W117" s="59"/>
      <c r="X117" s="59"/>
      <c r="Y117" s="59"/>
      <c r="Z117" s="59"/>
      <c r="AA117" s="105"/>
      <c r="AB117" s="40"/>
      <c r="AD117" s="42"/>
      <c r="AE117" s="42"/>
      <c r="AF117" s="42"/>
      <c r="AG117" s="42"/>
    </row>
    <row r="118" spans="8:33" s="33" customFormat="1">
      <c r="H118" s="42"/>
      <c r="K118" s="42"/>
      <c r="M118" s="55"/>
      <c r="P118" s="55"/>
      <c r="W118" s="59"/>
      <c r="X118" s="59"/>
      <c r="Y118" s="59"/>
      <c r="Z118" s="59"/>
      <c r="AA118" s="105"/>
      <c r="AB118" s="40"/>
      <c r="AD118" s="42"/>
      <c r="AE118" s="42"/>
      <c r="AF118" s="42"/>
      <c r="AG118" s="42"/>
    </row>
    <row r="119" spans="8:33" s="33" customFormat="1">
      <c r="H119" s="42"/>
      <c r="K119" s="42"/>
      <c r="M119" s="55"/>
      <c r="P119" s="55"/>
      <c r="W119" s="59"/>
      <c r="X119" s="59"/>
      <c r="Y119" s="59"/>
      <c r="Z119" s="59"/>
      <c r="AA119" s="105"/>
      <c r="AB119" s="40"/>
      <c r="AD119" s="42"/>
      <c r="AE119" s="42"/>
      <c r="AF119" s="42"/>
      <c r="AG119" s="42"/>
    </row>
    <row r="120" spans="8:33" s="33" customFormat="1">
      <c r="H120" s="42"/>
      <c r="K120" s="42"/>
      <c r="M120" s="55"/>
      <c r="P120" s="55"/>
      <c r="W120" s="59"/>
      <c r="X120" s="59"/>
      <c r="Y120" s="59"/>
      <c r="Z120" s="59"/>
      <c r="AA120" s="105"/>
      <c r="AB120" s="40"/>
      <c r="AD120" s="42"/>
      <c r="AE120" s="42"/>
      <c r="AF120" s="42"/>
      <c r="AG120" s="42"/>
    </row>
    <row r="121" spans="8:33" s="33" customFormat="1">
      <c r="H121" s="42"/>
      <c r="K121" s="42"/>
      <c r="M121" s="55"/>
      <c r="P121" s="55"/>
      <c r="W121" s="59"/>
      <c r="X121" s="59"/>
      <c r="Y121" s="59"/>
      <c r="Z121" s="59"/>
      <c r="AA121" s="105"/>
      <c r="AB121" s="40"/>
      <c r="AD121" s="42"/>
      <c r="AE121" s="42"/>
      <c r="AF121" s="42"/>
      <c r="AG121" s="42"/>
    </row>
    <row r="122" spans="8:33" s="33" customFormat="1">
      <c r="H122" s="42"/>
      <c r="K122" s="42"/>
      <c r="M122" s="55"/>
      <c r="P122" s="55"/>
      <c r="W122" s="59"/>
      <c r="X122" s="59"/>
      <c r="Y122" s="59"/>
      <c r="Z122" s="59"/>
      <c r="AA122" s="105"/>
      <c r="AB122" s="40"/>
      <c r="AD122" s="42"/>
      <c r="AE122" s="42"/>
      <c r="AF122" s="42"/>
      <c r="AG122" s="42"/>
    </row>
    <row r="123" spans="8:33" s="33" customFormat="1">
      <c r="H123" s="42"/>
      <c r="K123" s="42"/>
      <c r="M123" s="55"/>
      <c r="P123" s="55"/>
      <c r="W123" s="59"/>
      <c r="X123" s="59"/>
      <c r="Y123" s="59"/>
      <c r="Z123" s="59"/>
      <c r="AA123" s="105"/>
      <c r="AB123" s="40"/>
      <c r="AD123" s="42"/>
      <c r="AE123" s="42"/>
      <c r="AF123" s="42"/>
      <c r="AG123" s="42"/>
    </row>
    <row r="124" spans="8:33" s="33" customFormat="1">
      <c r="H124" s="42"/>
      <c r="K124" s="42"/>
      <c r="M124" s="55"/>
      <c r="P124" s="55"/>
      <c r="W124" s="59"/>
      <c r="X124" s="59"/>
      <c r="Y124" s="59"/>
      <c r="Z124" s="59"/>
      <c r="AA124" s="105"/>
      <c r="AB124" s="40"/>
      <c r="AD124" s="42"/>
      <c r="AE124" s="42"/>
      <c r="AF124" s="42"/>
      <c r="AG124" s="42"/>
    </row>
    <row r="125" spans="8:33" s="33" customFormat="1">
      <c r="H125" s="42"/>
      <c r="K125" s="42"/>
      <c r="M125" s="55"/>
      <c r="P125" s="55"/>
      <c r="W125" s="59"/>
      <c r="X125" s="59"/>
      <c r="Y125" s="59"/>
      <c r="Z125" s="59"/>
      <c r="AA125" s="105"/>
      <c r="AB125" s="40"/>
      <c r="AD125" s="42"/>
      <c r="AE125" s="42"/>
      <c r="AF125" s="42"/>
      <c r="AG125" s="42"/>
    </row>
    <row r="126" spans="8:33" s="33" customFormat="1">
      <c r="H126" s="42"/>
      <c r="K126" s="42"/>
      <c r="M126" s="55"/>
      <c r="P126" s="55"/>
      <c r="W126" s="59"/>
      <c r="X126" s="59"/>
      <c r="Y126" s="59"/>
      <c r="Z126" s="59"/>
      <c r="AA126" s="105"/>
      <c r="AB126" s="40"/>
      <c r="AD126" s="42"/>
      <c r="AE126" s="42"/>
      <c r="AF126" s="42"/>
      <c r="AG126" s="42"/>
    </row>
    <row r="127" spans="8:33" s="33" customFormat="1">
      <c r="H127" s="42"/>
      <c r="K127" s="42"/>
      <c r="M127" s="55"/>
      <c r="P127" s="55"/>
      <c r="W127" s="59"/>
      <c r="X127" s="59"/>
      <c r="Y127" s="59"/>
      <c r="Z127" s="59"/>
      <c r="AA127" s="105"/>
      <c r="AB127" s="40"/>
      <c r="AD127" s="42"/>
      <c r="AE127" s="42"/>
      <c r="AF127" s="42"/>
      <c r="AG127" s="42"/>
    </row>
    <row r="128" spans="8:33" s="33" customFormat="1">
      <c r="H128" s="42"/>
      <c r="K128" s="42"/>
      <c r="M128" s="55"/>
      <c r="P128" s="55"/>
      <c r="W128" s="59"/>
      <c r="X128" s="59"/>
      <c r="Y128" s="59"/>
      <c r="Z128" s="59"/>
      <c r="AA128" s="105"/>
      <c r="AB128" s="40"/>
      <c r="AD128" s="42"/>
      <c r="AE128" s="42"/>
      <c r="AF128" s="42"/>
      <c r="AG128" s="42"/>
    </row>
    <row r="129" spans="8:33" s="33" customFormat="1">
      <c r="H129" s="42"/>
      <c r="K129" s="42"/>
      <c r="M129" s="55"/>
      <c r="P129" s="55"/>
      <c r="W129" s="59"/>
      <c r="X129" s="59"/>
      <c r="Y129" s="59"/>
      <c r="Z129" s="59"/>
      <c r="AA129" s="105"/>
      <c r="AB129" s="40"/>
      <c r="AD129" s="42"/>
      <c r="AE129" s="42"/>
      <c r="AF129" s="42"/>
      <c r="AG129" s="42"/>
    </row>
    <row r="130" spans="8:33" s="33" customFormat="1">
      <c r="H130" s="42"/>
      <c r="K130" s="42"/>
      <c r="M130" s="55"/>
      <c r="P130" s="55"/>
      <c r="W130" s="59"/>
      <c r="X130" s="59"/>
      <c r="Y130" s="59"/>
      <c r="Z130" s="59"/>
      <c r="AA130" s="105"/>
      <c r="AB130" s="40"/>
      <c r="AD130" s="42"/>
      <c r="AE130" s="42"/>
      <c r="AF130" s="42"/>
      <c r="AG130" s="42"/>
    </row>
    <row r="131" spans="8:33" s="33" customFormat="1">
      <c r="H131" s="42"/>
      <c r="K131" s="42"/>
      <c r="M131" s="55"/>
      <c r="P131" s="55"/>
      <c r="W131" s="59"/>
      <c r="X131" s="59"/>
      <c r="Y131" s="59"/>
      <c r="Z131" s="59"/>
      <c r="AA131" s="105"/>
      <c r="AB131" s="40"/>
      <c r="AD131" s="42"/>
      <c r="AE131" s="42"/>
      <c r="AF131" s="42"/>
      <c r="AG131" s="42"/>
    </row>
    <row r="132" spans="8:33" s="33" customFormat="1">
      <c r="H132" s="42"/>
      <c r="K132" s="42"/>
      <c r="M132" s="55"/>
      <c r="P132" s="55"/>
      <c r="W132" s="59"/>
      <c r="X132" s="59"/>
      <c r="Y132" s="59"/>
      <c r="Z132" s="59"/>
      <c r="AA132" s="105"/>
      <c r="AB132" s="40"/>
      <c r="AD132" s="42"/>
      <c r="AE132" s="42"/>
      <c r="AF132" s="42"/>
      <c r="AG132" s="42"/>
    </row>
    <row r="133" spans="8:33" s="33" customFormat="1">
      <c r="H133" s="42"/>
      <c r="K133" s="42"/>
      <c r="M133" s="55"/>
      <c r="P133" s="55"/>
      <c r="W133" s="59"/>
      <c r="X133" s="59"/>
      <c r="Y133" s="59"/>
      <c r="Z133" s="59"/>
      <c r="AA133" s="105"/>
      <c r="AB133" s="40"/>
      <c r="AD133" s="42"/>
      <c r="AE133" s="42"/>
      <c r="AF133" s="42"/>
      <c r="AG133" s="42"/>
    </row>
    <row r="134" spans="8:33" s="33" customFormat="1">
      <c r="H134" s="42"/>
      <c r="K134" s="42"/>
      <c r="M134" s="55"/>
      <c r="P134" s="55"/>
      <c r="W134" s="59"/>
      <c r="X134" s="59"/>
      <c r="Y134" s="59"/>
      <c r="Z134" s="59"/>
      <c r="AA134" s="105"/>
      <c r="AB134" s="40"/>
      <c r="AD134" s="42"/>
      <c r="AE134" s="42"/>
      <c r="AF134" s="42"/>
      <c r="AG134" s="42"/>
    </row>
    <row r="135" spans="8:33" s="33" customFormat="1">
      <c r="H135" s="42"/>
      <c r="K135" s="42"/>
      <c r="M135" s="55"/>
      <c r="P135" s="55"/>
      <c r="W135" s="59"/>
      <c r="X135" s="59"/>
      <c r="Y135" s="59"/>
      <c r="Z135" s="59"/>
      <c r="AA135" s="105"/>
      <c r="AB135" s="40"/>
      <c r="AD135" s="42"/>
      <c r="AE135" s="42"/>
      <c r="AF135" s="42"/>
      <c r="AG135" s="42"/>
    </row>
    <row r="136" spans="8:33" s="33" customFormat="1">
      <c r="H136" s="42"/>
      <c r="K136" s="42"/>
      <c r="M136" s="55"/>
      <c r="P136" s="55"/>
      <c r="W136" s="59"/>
      <c r="X136" s="59"/>
      <c r="Y136" s="59"/>
      <c r="Z136" s="59"/>
      <c r="AA136" s="105"/>
      <c r="AB136" s="40"/>
      <c r="AD136" s="42"/>
      <c r="AE136" s="42"/>
      <c r="AF136" s="42"/>
      <c r="AG136" s="42"/>
    </row>
    <row r="137" spans="8:33" s="33" customFormat="1">
      <c r="H137" s="42"/>
      <c r="K137" s="42"/>
      <c r="M137" s="55"/>
      <c r="P137" s="55"/>
      <c r="W137" s="59"/>
      <c r="X137" s="59"/>
      <c r="Y137" s="59"/>
      <c r="Z137" s="59"/>
      <c r="AA137" s="105"/>
      <c r="AB137" s="40"/>
      <c r="AD137" s="42"/>
      <c r="AE137" s="42"/>
      <c r="AF137" s="42"/>
      <c r="AG137" s="42"/>
    </row>
    <row r="138" spans="8:33" s="33" customFormat="1">
      <c r="H138" s="42"/>
      <c r="K138" s="42"/>
      <c r="M138" s="55"/>
      <c r="P138" s="55"/>
      <c r="W138" s="59"/>
      <c r="X138" s="59"/>
      <c r="Y138" s="59"/>
      <c r="Z138" s="59"/>
      <c r="AA138" s="105"/>
      <c r="AB138" s="40"/>
      <c r="AD138" s="42"/>
      <c r="AE138" s="42"/>
      <c r="AF138" s="42"/>
      <c r="AG138" s="42"/>
    </row>
    <row r="139" spans="8:33" s="33" customFormat="1">
      <c r="H139" s="42"/>
      <c r="K139" s="42"/>
      <c r="M139" s="55"/>
      <c r="P139" s="55"/>
      <c r="W139" s="59"/>
      <c r="X139" s="59"/>
      <c r="Y139" s="59"/>
      <c r="Z139" s="59"/>
      <c r="AA139" s="105"/>
      <c r="AB139" s="40"/>
      <c r="AD139" s="42"/>
      <c r="AE139" s="42"/>
      <c r="AF139" s="42"/>
      <c r="AG139" s="42"/>
    </row>
    <row r="140" spans="8:33" s="33" customFormat="1">
      <c r="H140" s="42"/>
      <c r="K140" s="42"/>
      <c r="M140" s="55"/>
      <c r="P140" s="55"/>
      <c r="W140" s="59"/>
      <c r="X140" s="59"/>
      <c r="Y140" s="59"/>
      <c r="Z140" s="59"/>
      <c r="AA140" s="105"/>
      <c r="AB140" s="40"/>
      <c r="AD140" s="42"/>
      <c r="AE140" s="42"/>
      <c r="AF140" s="42"/>
      <c r="AG140" s="42"/>
    </row>
    <row r="141" spans="8:33" s="33" customFormat="1">
      <c r="H141" s="42"/>
      <c r="K141" s="42"/>
      <c r="M141" s="55"/>
      <c r="P141" s="55"/>
      <c r="W141" s="59"/>
      <c r="X141" s="59"/>
      <c r="Y141" s="59"/>
      <c r="Z141" s="59"/>
      <c r="AA141" s="105"/>
      <c r="AB141" s="40"/>
      <c r="AD141" s="42"/>
      <c r="AE141" s="42"/>
      <c r="AF141" s="42"/>
      <c r="AG141" s="42"/>
    </row>
    <row r="142" spans="8:33" s="33" customFormat="1">
      <c r="H142" s="42"/>
      <c r="K142" s="42"/>
      <c r="M142" s="55"/>
      <c r="P142" s="55"/>
      <c r="W142" s="59"/>
      <c r="X142" s="59"/>
      <c r="Y142" s="59"/>
      <c r="Z142" s="59"/>
      <c r="AA142" s="105"/>
      <c r="AB142" s="40"/>
      <c r="AD142" s="42"/>
      <c r="AE142" s="42"/>
      <c r="AF142" s="42"/>
      <c r="AG142" s="42"/>
    </row>
    <row r="143" spans="8:33" s="33" customFormat="1">
      <c r="H143" s="42"/>
      <c r="K143" s="42"/>
      <c r="M143" s="55"/>
      <c r="P143" s="55"/>
      <c r="W143" s="59"/>
      <c r="X143" s="59"/>
      <c r="Y143" s="59"/>
      <c r="Z143" s="59"/>
      <c r="AA143" s="105"/>
      <c r="AB143" s="40"/>
      <c r="AD143" s="42"/>
      <c r="AE143" s="42"/>
      <c r="AF143" s="42"/>
      <c r="AG143" s="42"/>
    </row>
    <row r="144" spans="8:33" s="33" customFormat="1">
      <c r="H144" s="42"/>
      <c r="K144" s="42"/>
      <c r="M144" s="55"/>
      <c r="P144" s="55"/>
      <c r="W144" s="59"/>
      <c r="X144" s="59"/>
      <c r="Y144" s="59"/>
      <c r="Z144" s="59"/>
      <c r="AA144" s="105"/>
      <c r="AB144" s="40"/>
      <c r="AD144" s="42"/>
      <c r="AE144" s="42"/>
      <c r="AF144" s="42"/>
      <c r="AG144" s="42"/>
    </row>
    <row r="145" spans="8:33" s="33" customFormat="1">
      <c r="H145" s="42"/>
      <c r="K145" s="42"/>
      <c r="M145" s="55"/>
      <c r="P145" s="55"/>
      <c r="W145" s="59"/>
      <c r="X145" s="59"/>
      <c r="Y145" s="59"/>
      <c r="Z145" s="59"/>
      <c r="AA145" s="105"/>
      <c r="AB145" s="40"/>
      <c r="AD145" s="42"/>
      <c r="AE145" s="42"/>
      <c r="AF145" s="42"/>
      <c r="AG145" s="42"/>
    </row>
    <row r="146" spans="8:33" s="33" customFormat="1">
      <c r="H146" s="42"/>
      <c r="K146" s="42"/>
      <c r="M146" s="55"/>
      <c r="P146" s="55"/>
      <c r="W146" s="59"/>
      <c r="X146" s="59"/>
      <c r="Y146" s="59"/>
      <c r="Z146" s="59"/>
      <c r="AA146" s="105"/>
      <c r="AB146" s="40"/>
      <c r="AD146" s="42"/>
      <c r="AE146" s="42"/>
      <c r="AF146" s="42"/>
      <c r="AG146" s="42"/>
    </row>
    <row r="147" spans="8:33" s="33" customFormat="1">
      <c r="H147" s="42"/>
      <c r="K147" s="42"/>
      <c r="M147" s="55"/>
      <c r="P147" s="55"/>
      <c r="W147" s="59"/>
      <c r="X147" s="59"/>
      <c r="Y147" s="59"/>
      <c r="Z147" s="59"/>
      <c r="AA147" s="105"/>
      <c r="AB147" s="40"/>
      <c r="AD147" s="42"/>
      <c r="AE147" s="42"/>
      <c r="AF147" s="42"/>
      <c r="AG147" s="42"/>
    </row>
    <row r="148" spans="8:33" s="33" customFormat="1">
      <c r="H148" s="42"/>
      <c r="K148" s="42"/>
      <c r="M148" s="55"/>
      <c r="P148" s="55"/>
      <c r="W148" s="59"/>
      <c r="X148" s="59"/>
      <c r="Y148" s="59"/>
      <c r="Z148" s="59"/>
      <c r="AA148" s="105"/>
      <c r="AB148" s="40"/>
      <c r="AD148" s="42"/>
      <c r="AE148" s="42"/>
      <c r="AF148" s="42"/>
      <c r="AG148" s="42"/>
    </row>
    <row r="149" spans="8:33" s="33" customFormat="1">
      <c r="H149" s="42"/>
      <c r="K149" s="42"/>
      <c r="M149" s="55"/>
      <c r="P149" s="55"/>
      <c r="W149" s="59"/>
      <c r="X149" s="59"/>
      <c r="Y149" s="59"/>
      <c r="Z149" s="59"/>
      <c r="AA149" s="105"/>
      <c r="AB149" s="40"/>
      <c r="AD149" s="42"/>
      <c r="AE149" s="42"/>
      <c r="AF149" s="42"/>
      <c r="AG149" s="42"/>
    </row>
    <row r="150" spans="8:33" s="33" customFormat="1">
      <c r="H150" s="42"/>
      <c r="K150" s="42"/>
      <c r="M150" s="55"/>
      <c r="P150" s="55"/>
      <c r="W150" s="59"/>
      <c r="X150" s="59"/>
      <c r="Y150" s="59"/>
      <c r="Z150" s="59"/>
      <c r="AA150" s="105"/>
      <c r="AB150" s="40"/>
      <c r="AD150" s="42"/>
      <c r="AE150" s="42"/>
      <c r="AF150" s="42"/>
      <c r="AG150" s="42"/>
    </row>
    <row r="151" spans="8:33" s="33" customFormat="1">
      <c r="H151" s="42"/>
      <c r="K151" s="42"/>
      <c r="M151" s="55"/>
      <c r="P151" s="55"/>
      <c r="W151" s="59"/>
      <c r="X151" s="59"/>
      <c r="Y151" s="59"/>
      <c r="Z151" s="59"/>
      <c r="AA151" s="105"/>
      <c r="AB151" s="40"/>
      <c r="AD151" s="42"/>
      <c r="AE151" s="42"/>
      <c r="AF151" s="42"/>
      <c r="AG151" s="42"/>
    </row>
    <row r="152" spans="8:33" s="33" customFormat="1">
      <c r="H152" s="42"/>
      <c r="K152" s="42"/>
      <c r="M152" s="55"/>
      <c r="P152" s="55"/>
      <c r="W152" s="59"/>
      <c r="X152" s="59"/>
      <c r="Y152" s="59"/>
      <c r="Z152" s="59"/>
      <c r="AA152" s="105"/>
      <c r="AB152" s="40"/>
      <c r="AD152" s="42"/>
      <c r="AE152" s="42"/>
      <c r="AF152" s="42"/>
      <c r="AG152" s="42"/>
    </row>
    <row r="153" spans="8:33" s="33" customFormat="1">
      <c r="H153" s="42"/>
      <c r="K153" s="42"/>
      <c r="M153" s="55"/>
      <c r="P153" s="55"/>
      <c r="W153" s="59"/>
      <c r="X153" s="59"/>
      <c r="Y153" s="59"/>
      <c r="Z153" s="59"/>
      <c r="AA153" s="105"/>
      <c r="AB153" s="40"/>
      <c r="AD153" s="42"/>
      <c r="AE153" s="42"/>
      <c r="AF153" s="42"/>
      <c r="AG153" s="42"/>
    </row>
    <row r="154" spans="8:33" s="33" customFormat="1">
      <c r="H154" s="42"/>
      <c r="K154" s="42"/>
      <c r="M154" s="55"/>
      <c r="P154" s="55"/>
      <c r="W154" s="59"/>
      <c r="X154" s="59"/>
      <c r="Y154" s="59"/>
      <c r="Z154" s="59"/>
      <c r="AA154" s="105"/>
      <c r="AB154" s="40"/>
      <c r="AD154" s="42"/>
      <c r="AE154" s="42"/>
      <c r="AF154" s="42"/>
      <c r="AG154" s="42"/>
    </row>
    <row r="155" spans="8:33" s="33" customFormat="1">
      <c r="H155" s="42"/>
      <c r="K155" s="42"/>
      <c r="M155" s="55"/>
      <c r="P155" s="55"/>
      <c r="W155" s="59"/>
      <c r="X155" s="59"/>
      <c r="Y155" s="59"/>
      <c r="Z155" s="59"/>
      <c r="AA155" s="105"/>
      <c r="AB155" s="40"/>
      <c r="AD155" s="42"/>
      <c r="AE155" s="42"/>
      <c r="AF155" s="42"/>
      <c r="AG155" s="42"/>
    </row>
    <row r="156" spans="8:33" s="33" customFormat="1">
      <c r="H156" s="42"/>
      <c r="K156" s="42"/>
      <c r="M156" s="55"/>
      <c r="P156" s="55"/>
      <c r="W156" s="59"/>
      <c r="X156" s="59"/>
      <c r="Y156" s="59"/>
      <c r="Z156" s="59"/>
      <c r="AA156" s="105"/>
      <c r="AB156" s="40"/>
      <c r="AD156" s="42"/>
      <c r="AE156" s="42"/>
      <c r="AF156" s="42"/>
      <c r="AG156" s="42"/>
    </row>
    <row r="157" spans="8:33" s="33" customFormat="1">
      <c r="H157" s="42"/>
      <c r="K157" s="42"/>
      <c r="M157" s="55"/>
      <c r="P157" s="55"/>
      <c r="W157" s="59"/>
      <c r="X157" s="59"/>
      <c r="Y157" s="59"/>
      <c r="Z157" s="59"/>
      <c r="AA157" s="105"/>
      <c r="AB157" s="40"/>
      <c r="AD157" s="42"/>
      <c r="AE157" s="42"/>
      <c r="AF157" s="42"/>
      <c r="AG157" s="42"/>
    </row>
    <row r="158" spans="8:33" s="33" customFormat="1">
      <c r="H158" s="42"/>
      <c r="K158" s="42"/>
      <c r="M158" s="55"/>
      <c r="P158" s="55"/>
      <c r="W158" s="59"/>
      <c r="X158" s="59"/>
      <c r="Y158" s="59"/>
      <c r="Z158" s="59"/>
      <c r="AA158" s="105"/>
      <c r="AB158" s="40"/>
      <c r="AD158" s="42"/>
      <c r="AE158" s="42"/>
      <c r="AF158" s="42"/>
      <c r="AG158" s="42"/>
    </row>
    <row r="159" spans="8:33" s="33" customFormat="1">
      <c r="H159" s="42"/>
      <c r="K159" s="42"/>
      <c r="M159" s="55"/>
      <c r="P159" s="55"/>
      <c r="W159" s="59"/>
      <c r="X159" s="59"/>
      <c r="Y159" s="59"/>
      <c r="Z159" s="59"/>
      <c r="AA159" s="105"/>
      <c r="AB159" s="40"/>
      <c r="AD159" s="42"/>
      <c r="AE159" s="42"/>
      <c r="AF159" s="42"/>
      <c r="AG159" s="42"/>
    </row>
    <row r="160" spans="8:33" s="33" customFormat="1">
      <c r="H160" s="42"/>
      <c r="K160" s="42"/>
      <c r="M160" s="55"/>
      <c r="P160" s="55"/>
      <c r="W160" s="59"/>
      <c r="X160" s="59"/>
      <c r="Y160" s="59"/>
      <c r="Z160" s="59"/>
      <c r="AA160" s="105"/>
      <c r="AB160" s="40"/>
      <c r="AD160" s="42"/>
      <c r="AE160" s="42"/>
      <c r="AF160" s="42"/>
      <c r="AG160" s="42"/>
    </row>
    <row r="161" spans="8:33" s="33" customFormat="1">
      <c r="H161" s="42"/>
      <c r="K161" s="42"/>
      <c r="M161" s="55"/>
      <c r="P161" s="55"/>
      <c r="W161" s="59"/>
      <c r="X161" s="59"/>
      <c r="Y161" s="59"/>
      <c r="Z161" s="59"/>
      <c r="AA161" s="105"/>
      <c r="AB161" s="40"/>
      <c r="AD161" s="42"/>
      <c r="AE161" s="42"/>
      <c r="AF161" s="42"/>
      <c r="AG161" s="42"/>
    </row>
    <row r="162" spans="8:33" s="33" customFormat="1">
      <c r="H162" s="42"/>
      <c r="K162" s="42"/>
      <c r="M162" s="55"/>
      <c r="P162" s="55"/>
      <c r="W162" s="59"/>
      <c r="X162" s="59"/>
      <c r="Y162" s="59"/>
      <c r="Z162" s="59"/>
      <c r="AA162" s="105"/>
      <c r="AB162" s="40"/>
      <c r="AD162" s="42"/>
      <c r="AE162" s="42"/>
      <c r="AF162" s="42"/>
      <c r="AG162" s="42"/>
    </row>
    <row r="163" spans="8:33" s="33" customFormat="1">
      <c r="H163" s="42"/>
      <c r="K163" s="42"/>
      <c r="M163" s="55"/>
      <c r="P163" s="55"/>
      <c r="W163" s="59"/>
      <c r="X163" s="59"/>
      <c r="Y163" s="59"/>
      <c r="Z163" s="59"/>
      <c r="AA163" s="105"/>
      <c r="AB163" s="40"/>
      <c r="AD163" s="42"/>
      <c r="AE163" s="42"/>
      <c r="AF163" s="42"/>
      <c r="AG163" s="42"/>
    </row>
    <row r="164" spans="8:33" s="33" customFormat="1">
      <c r="H164" s="42"/>
      <c r="K164" s="42"/>
      <c r="M164" s="55"/>
      <c r="P164" s="55"/>
      <c r="W164" s="59"/>
      <c r="X164" s="59"/>
      <c r="Y164" s="59"/>
      <c r="Z164" s="59"/>
      <c r="AA164" s="105"/>
      <c r="AB164" s="40"/>
      <c r="AD164" s="42"/>
      <c r="AE164" s="42"/>
      <c r="AF164" s="42"/>
      <c r="AG164" s="42"/>
    </row>
    <row r="165" spans="8:33" s="33" customFormat="1">
      <c r="H165" s="42"/>
      <c r="K165" s="42"/>
      <c r="M165" s="55"/>
      <c r="P165" s="55"/>
      <c r="W165" s="59"/>
      <c r="X165" s="59"/>
      <c r="Y165" s="59"/>
      <c r="Z165" s="59"/>
      <c r="AA165" s="105"/>
      <c r="AB165" s="40"/>
      <c r="AD165" s="42"/>
      <c r="AE165" s="42"/>
      <c r="AF165" s="42"/>
      <c r="AG165" s="42"/>
    </row>
    <row r="166" spans="8:33" s="33" customFormat="1">
      <c r="H166" s="42"/>
      <c r="K166" s="42"/>
      <c r="M166" s="55"/>
      <c r="P166" s="55"/>
      <c r="W166" s="59"/>
      <c r="X166" s="59"/>
      <c r="Y166" s="59"/>
      <c r="Z166" s="59"/>
      <c r="AA166" s="105"/>
      <c r="AB166" s="40"/>
      <c r="AD166" s="42"/>
      <c r="AE166" s="42"/>
      <c r="AF166" s="42"/>
      <c r="AG166" s="42"/>
    </row>
    <row r="167" spans="8:33" s="33" customFormat="1">
      <c r="H167" s="42"/>
      <c r="K167" s="42"/>
      <c r="M167" s="55"/>
      <c r="P167" s="55"/>
      <c r="W167" s="59"/>
      <c r="X167" s="59"/>
      <c r="Y167" s="59"/>
      <c r="Z167" s="59"/>
      <c r="AA167" s="105"/>
      <c r="AB167" s="40"/>
      <c r="AD167" s="42"/>
      <c r="AE167" s="42"/>
      <c r="AF167" s="42"/>
      <c r="AG167" s="42"/>
    </row>
    <row r="168" spans="8:33" s="33" customFormat="1">
      <c r="H168" s="42"/>
      <c r="K168" s="42"/>
      <c r="M168" s="55"/>
      <c r="P168" s="55"/>
      <c r="W168" s="59"/>
      <c r="X168" s="59"/>
      <c r="Y168" s="59"/>
      <c r="Z168" s="59"/>
      <c r="AA168" s="105"/>
      <c r="AB168" s="40"/>
      <c r="AD168" s="42"/>
      <c r="AE168" s="42"/>
      <c r="AF168" s="42"/>
      <c r="AG168" s="42"/>
    </row>
    <row r="169" spans="8:33" s="33" customFormat="1">
      <c r="H169" s="42"/>
      <c r="K169" s="42"/>
      <c r="M169" s="55"/>
      <c r="P169" s="55"/>
      <c r="W169" s="59"/>
      <c r="X169" s="59"/>
      <c r="Y169" s="59"/>
      <c r="Z169" s="59"/>
      <c r="AA169" s="105"/>
      <c r="AB169" s="40"/>
      <c r="AD169" s="42"/>
      <c r="AE169" s="42"/>
      <c r="AF169" s="42"/>
      <c r="AG169" s="42"/>
    </row>
    <row r="170" spans="8:33" s="33" customFormat="1">
      <c r="H170" s="42"/>
      <c r="K170" s="42"/>
      <c r="M170" s="55"/>
      <c r="P170" s="55"/>
      <c r="W170" s="59"/>
      <c r="X170" s="59"/>
      <c r="Y170" s="59"/>
      <c r="Z170" s="59"/>
      <c r="AA170" s="105"/>
      <c r="AB170" s="40"/>
      <c r="AD170" s="42"/>
      <c r="AE170" s="42"/>
      <c r="AF170" s="42"/>
      <c r="AG170" s="42"/>
    </row>
    <row r="171" spans="8:33" s="33" customFormat="1">
      <c r="H171" s="42"/>
      <c r="K171" s="42"/>
      <c r="M171" s="55"/>
      <c r="P171" s="55"/>
      <c r="W171" s="59"/>
      <c r="X171" s="59"/>
      <c r="Y171" s="59"/>
      <c r="Z171" s="59"/>
      <c r="AA171" s="105"/>
      <c r="AB171" s="40"/>
      <c r="AD171" s="42"/>
      <c r="AE171" s="42"/>
      <c r="AF171" s="42"/>
      <c r="AG171" s="42"/>
    </row>
    <row r="172" spans="8:33" s="33" customFormat="1">
      <c r="H172" s="42"/>
      <c r="K172" s="42"/>
      <c r="M172" s="55"/>
      <c r="P172" s="55"/>
      <c r="W172" s="59"/>
      <c r="X172" s="59"/>
      <c r="Y172" s="59"/>
      <c r="Z172" s="59"/>
      <c r="AA172" s="105"/>
      <c r="AB172" s="40"/>
      <c r="AD172" s="42"/>
      <c r="AE172" s="42"/>
      <c r="AF172" s="42"/>
      <c r="AG172" s="42"/>
    </row>
    <row r="173" spans="8:33" s="33" customFormat="1">
      <c r="H173" s="42"/>
      <c r="K173" s="42"/>
      <c r="M173" s="55"/>
      <c r="P173" s="55"/>
      <c r="W173" s="59"/>
      <c r="X173" s="59"/>
      <c r="Y173" s="59"/>
      <c r="Z173" s="59"/>
      <c r="AA173" s="105"/>
      <c r="AB173" s="40"/>
      <c r="AD173" s="42"/>
      <c r="AE173" s="42"/>
      <c r="AF173" s="42"/>
      <c r="AG173" s="42"/>
    </row>
    <row r="174" spans="8:33" s="33" customFormat="1">
      <c r="H174" s="42"/>
      <c r="K174" s="42"/>
      <c r="M174" s="55"/>
      <c r="P174" s="55"/>
      <c r="W174" s="59"/>
      <c r="X174" s="59"/>
      <c r="Y174" s="59"/>
      <c r="Z174" s="59"/>
      <c r="AA174" s="105"/>
      <c r="AB174" s="40"/>
      <c r="AD174" s="42"/>
      <c r="AE174" s="42"/>
      <c r="AF174" s="42"/>
      <c r="AG174" s="42"/>
    </row>
    <row r="175" spans="8:33" s="33" customFormat="1">
      <c r="H175" s="42"/>
      <c r="K175" s="42"/>
      <c r="M175" s="55"/>
      <c r="P175" s="55"/>
      <c r="W175" s="59"/>
      <c r="X175" s="59"/>
      <c r="Y175" s="59"/>
      <c r="Z175" s="59"/>
      <c r="AA175" s="105"/>
      <c r="AB175" s="40"/>
      <c r="AD175" s="42"/>
      <c r="AE175" s="42"/>
      <c r="AF175" s="42"/>
      <c r="AG175" s="42"/>
    </row>
    <row r="176" spans="8:33" s="33" customFormat="1">
      <c r="H176" s="42"/>
      <c r="K176" s="42"/>
      <c r="M176" s="55"/>
      <c r="P176" s="55"/>
      <c r="W176" s="59"/>
      <c r="X176" s="59"/>
      <c r="Y176" s="59"/>
      <c r="Z176" s="59"/>
      <c r="AA176" s="105"/>
      <c r="AB176" s="40"/>
      <c r="AD176" s="42"/>
      <c r="AE176" s="42"/>
      <c r="AF176" s="42"/>
      <c r="AG176" s="42"/>
    </row>
    <row r="177" spans="8:33" s="33" customFormat="1">
      <c r="H177" s="42"/>
      <c r="K177" s="42"/>
      <c r="M177" s="55"/>
      <c r="P177" s="55"/>
      <c r="W177" s="59"/>
      <c r="X177" s="59"/>
      <c r="Y177" s="59"/>
      <c r="Z177" s="59"/>
      <c r="AA177" s="105"/>
      <c r="AB177" s="40"/>
      <c r="AD177" s="42"/>
      <c r="AE177" s="42"/>
      <c r="AF177" s="42"/>
      <c r="AG177" s="42"/>
    </row>
    <row r="178" spans="8:33" s="33" customFormat="1">
      <c r="H178" s="42"/>
      <c r="K178" s="42"/>
      <c r="M178" s="55"/>
      <c r="P178" s="55"/>
      <c r="W178" s="59"/>
      <c r="X178" s="59"/>
      <c r="Y178" s="59"/>
      <c r="Z178" s="59"/>
      <c r="AA178" s="105"/>
      <c r="AB178" s="40"/>
      <c r="AD178" s="42"/>
      <c r="AE178" s="42"/>
      <c r="AF178" s="42"/>
      <c r="AG178" s="42"/>
    </row>
    <row r="179" spans="8:33" s="33" customFormat="1">
      <c r="H179" s="42"/>
      <c r="K179" s="42"/>
      <c r="M179" s="55"/>
      <c r="P179" s="55"/>
      <c r="W179" s="59"/>
      <c r="X179" s="59"/>
      <c r="Y179" s="59"/>
      <c r="Z179" s="59"/>
      <c r="AA179" s="105"/>
      <c r="AB179" s="40"/>
      <c r="AD179" s="42"/>
      <c r="AE179" s="42"/>
      <c r="AF179" s="42"/>
      <c r="AG179" s="42"/>
    </row>
    <row r="180" spans="8:33" s="33" customFormat="1">
      <c r="H180" s="42"/>
      <c r="K180" s="42"/>
      <c r="M180" s="55"/>
      <c r="P180" s="55"/>
      <c r="W180" s="59"/>
      <c r="X180" s="59"/>
      <c r="Y180" s="59"/>
      <c r="Z180" s="59"/>
      <c r="AA180" s="105"/>
      <c r="AB180" s="40"/>
      <c r="AD180" s="42"/>
      <c r="AE180" s="42"/>
      <c r="AF180" s="42"/>
      <c r="AG180" s="42"/>
    </row>
    <row r="181" spans="8:33" s="33" customFormat="1">
      <c r="H181" s="42"/>
      <c r="K181" s="42"/>
      <c r="M181" s="55"/>
      <c r="P181" s="55"/>
      <c r="W181" s="59"/>
      <c r="X181" s="59"/>
      <c r="Y181" s="59"/>
      <c r="Z181" s="59"/>
      <c r="AA181" s="105"/>
      <c r="AB181" s="40"/>
      <c r="AD181" s="42"/>
      <c r="AE181" s="42"/>
      <c r="AF181" s="42"/>
      <c r="AG181" s="42"/>
    </row>
    <row r="182" spans="8:33" s="33" customFormat="1">
      <c r="H182" s="42"/>
      <c r="K182" s="42"/>
      <c r="M182" s="55"/>
      <c r="P182" s="55"/>
      <c r="W182" s="59"/>
      <c r="X182" s="59"/>
      <c r="Y182" s="59"/>
      <c r="Z182" s="59"/>
      <c r="AA182" s="105"/>
      <c r="AB182" s="40"/>
      <c r="AD182" s="42"/>
      <c r="AE182" s="42"/>
      <c r="AF182" s="42"/>
      <c r="AG182" s="42"/>
    </row>
    <row r="183" spans="8:33" s="33" customFormat="1">
      <c r="H183" s="42"/>
      <c r="K183" s="42"/>
      <c r="M183" s="55"/>
      <c r="P183" s="55"/>
      <c r="W183" s="59"/>
      <c r="X183" s="59"/>
      <c r="Y183" s="59"/>
      <c r="Z183" s="59"/>
      <c r="AA183" s="105"/>
      <c r="AB183" s="40"/>
      <c r="AD183" s="42"/>
      <c r="AE183" s="42"/>
      <c r="AF183" s="42"/>
      <c r="AG183" s="42"/>
    </row>
    <row r="184" spans="8:33" s="33" customFormat="1">
      <c r="H184" s="42"/>
      <c r="K184" s="42"/>
      <c r="M184" s="55"/>
      <c r="P184" s="55"/>
      <c r="W184" s="59"/>
      <c r="X184" s="59"/>
      <c r="Y184" s="59"/>
      <c r="Z184" s="59"/>
      <c r="AA184" s="105"/>
      <c r="AB184" s="40"/>
      <c r="AD184" s="42"/>
      <c r="AE184" s="42"/>
      <c r="AF184" s="42"/>
      <c r="AG184" s="42"/>
    </row>
    <row r="185" spans="8:33" s="33" customFormat="1">
      <c r="H185" s="42"/>
      <c r="K185" s="42"/>
      <c r="M185" s="55"/>
      <c r="P185" s="55"/>
      <c r="W185" s="59"/>
      <c r="X185" s="59"/>
      <c r="Y185" s="59"/>
      <c r="Z185" s="59"/>
      <c r="AA185" s="105"/>
      <c r="AB185" s="40"/>
      <c r="AD185" s="42"/>
      <c r="AE185" s="42"/>
      <c r="AF185" s="42"/>
      <c r="AG185" s="42"/>
    </row>
    <row r="186" spans="8:33" s="33" customFormat="1">
      <c r="H186" s="42"/>
      <c r="K186" s="42"/>
      <c r="M186" s="55"/>
      <c r="P186" s="55"/>
      <c r="W186" s="59"/>
      <c r="X186" s="59"/>
      <c r="Y186" s="59"/>
      <c r="Z186" s="59"/>
      <c r="AA186" s="105"/>
      <c r="AB186" s="40"/>
      <c r="AD186" s="42"/>
      <c r="AE186" s="42"/>
      <c r="AF186" s="42"/>
      <c r="AG186" s="42"/>
    </row>
    <row r="187" spans="8:33" s="33" customFormat="1">
      <c r="H187" s="42"/>
      <c r="K187" s="42"/>
      <c r="M187" s="55"/>
      <c r="P187" s="55"/>
      <c r="W187" s="59"/>
      <c r="X187" s="59"/>
      <c r="Y187" s="59"/>
      <c r="Z187" s="59"/>
      <c r="AA187" s="105"/>
      <c r="AB187" s="40"/>
      <c r="AD187" s="42"/>
      <c r="AE187" s="42"/>
      <c r="AF187" s="42"/>
      <c r="AG187" s="42"/>
    </row>
    <row r="188" spans="8:33" s="33" customFormat="1">
      <c r="H188" s="42"/>
      <c r="K188" s="42"/>
      <c r="M188" s="55"/>
      <c r="P188" s="55"/>
      <c r="W188" s="59"/>
      <c r="X188" s="59"/>
      <c r="Y188" s="59"/>
      <c r="Z188" s="59"/>
      <c r="AA188" s="105"/>
      <c r="AB188" s="40"/>
      <c r="AD188" s="42"/>
      <c r="AE188" s="42"/>
      <c r="AF188" s="42"/>
      <c r="AG188" s="42"/>
    </row>
    <row r="189" spans="8:33" s="33" customFormat="1">
      <c r="H189" s="42"/>
      <c r="K189" s="42"/>
      <c r="M189" s="55"/>
      <c r="P189" s="55"/>
      <c r="W189" s="59"/>
      <c r="X189" s="59"/>
      <c r="Y189" s="59"/>
      <c r="Z189" s="59"/>
      <c r="AA189" s="105"/>
      <c r="AB189" s="40"/>
      <c r="AD189" s="42"/>
      <c r="AE189" s="42"/>
      <c r="AF189" s="42"/>
      <c r="AG189" s="42"/>
    </row>
    <row r="190" spans="8:33" s="33" customFormat="1">
      <c r="H190" s="42"/>
      <c r="K190" s="42"/>
      <c r="M190" s="55"/>
      <c r="P190" s="55"/>
      <c r="W190" s="59"/>
      <c r="X190" s="59"/>
      <c r="Y190" s="59"/>
      <c r="Z190" s="59"/>
      <c r="AA190" s="105"/>
      <c r="AB190" s="40"/>
      <c r="AD190" s="42"/>
      <c r="AE190" s="42"/>
      <c r="AF190" s="42"/>
      <c r="AG190" s="42"/>
    </row>
    <row r="191" spans="8:33" s="33" customFormat="1">
      <c r="H191" s="42"/>
      <c r="K191" s="42"/>
      <c r="M191" s="55"/>
      <c r="P191" s="55"/>
      <c r="W191" s="59"/>
      <c r="X191" s="59"/>
      <c r="Y191" s="59"/>
      <c r="Z191" s="59"/>
      <c r="AA191" s="105"/>
      <c r="AB191" s="40"/>
      <c r="AD191" s="42"/>
      <c r="AE191" s="42"/>
      <c r="AF191" s="42"/>
      <c r="AG191" s="42"/>
    </row>
    <row r="192" spans="8:33" s="33" customFormat="1">
      <c r="H192" s="42"/>
      <c r="K192" s="42"/>
      <c r="M192" s="55"/>
      <c r="P192" s="55"/>
      <c r="W192" s="59"/>
      <c r="X192" s="59"/>
      <c r="Y192" s="59"/>
      <c r="Z192" s="59"/>
      <c r="AA192" s="105"/>
      <c r="AB192" s="40"/>
      <c r="AD192" s="42"/>
      <c r="AE192" s="42"/>
      <c r="AF192" s="42"/>
      <c r="AG192" s="42"/>
    </row>
    <row r="193" spans="8:33" s="33" customFormat="1">
      <c r="H193" s="42"/>
      <c r="K193" s="42"/>
      <c r="M193" s="55"/>
      <c r="P193" s="55"/>
      <c r="W193" s="59"/>
      <c r="X193" s="59"/>
      <c r="Y193" s="59"/>
      <c r="Z193" s="59"/>
      <c r="AA193" s="105"/>
      <c r="AB193" s="40"/>
      <c r="AD193" s="42"/>
      <c r="AE193" s="42"/>
      <c r="AF193" s="42"/>
      <c r="AG193" s="42"/>
    </row>
    <row r="194" spans="8:33" s="33" customFormat="1">
      <c r="H194" s="42"/>
      <c r="K194" s="42"/>
      <c r="M194" s="55"/>
      <c r="P194" s="55"/>
      <c r="W194" s="59"/>
      <c r="X194" s="59"/>
      <c r="Y194" s="59"/>
      <c r="Z194" s="59"/>
      <c r="AA194" s="105"/>
      <c r="AB194" s="40"/>
      <c r="AD194" s="42"/>
      <c r="AE194" s="42"/>
      <c r="AF194" s="42"/>
      <c r="AG194" s="42"/>
    </row>
    <row r="195" spans="8:33" s="33" customFormat="1">
      <c r="H195" s="42"/>
      <c r="K195" s="42"/>
      <c r="M195" s="55"/>
      <c r="P195" s="55"/>
      <c r="W195" s="59"/>
      <c r="X195" s="59"/>
      <c r="Y195" s="59"/>
      <c r="Z195" s="59"/>
      <c r="AA195" s="105"/>
      <c r="AB195" s="40"/>
      <c r="AD195" s="42"/>
      <c r="AE195" s="42"/>
      <c r="AF195" s="42"/>
      <c r="AG195" s="42"/>
    </row>
    <row r="196" spans="8:33" s="33" customFormat="1">
      <c r="H196" s="42"/>
      <c r="K196" s="42"/>
      <c r="M196" s="55"/>
      <c r="P196" s="55"/>
      <c r="W196" s="59"/>
      <c r="X196" s="59"/>
      <c r="Y196" s="59"/>
      <c r="Z196" s="59"/>
      <c r="AA196" s="105"/>
      <c r="AB196" s="40"/>
      <c r="AD196" s="42"/>
      <c r="AE196" s="42"/>
      <c r="AF196" s="42"/>
      <c r="AG196" s="42"/>
    </row>
    <row r="197" spans="8:33" s="33" customFormat="1">
      <c r="H197" s="42"/>
      <c r="K197" s="42"/>
      <c r="M197" s="55"/>
      <c r="P197" s="55"/>
      <c r="W197" s="59"/>
      <c r="X197" s="59"/>
      <c r="Y197" s="59"/>
      <c r="Z197" s="59"/>
      <c r="AA197" s="105"/>
      <c r="AB197" s="40"/>
      <c r="AD197" s="42"/>
      <c r="AE197" s="42"/>
      <c r="AF197" s="42"/>
      <c r="AG197" s="42"/>
    </row>
    <row r="198" spans="8:33" s="33" customFormat="1">
      <c r="H198" s="42"/>
      <c r="K198" s="42"/>
      <c r="M198" s="55"/>
      <c r="P198" s="55"/>
      <c r="W198" s="59"/>
      <c r="X198" s="59"/>
      <c r="Y198" s="59"/>
      <c r="Z198" s="59"/>
      <c r="AA198" s="105"/>
      <c r="AB198" s="40"/>
      <c r="AD198" s="42"/>
      <c r="AE198" s="42"/>
      <c r="AF198" s="42"/>
      <c r="AG198" s="42"/>
    </row>
    <row r="199" spans="8:33" s="33" customFormat="1">
      <c r="H199" s="42"/>
      <c r="K199" s="42"/>
      <c r="M199" s="55"/>
      <c r="P199" s="55"/>
      <c r="W199" s="59"/>
      <c r="X199" s="59"/>
      <c r="Y199" s="59"/>
      <c r="Z199" s="59"/>
      <c r="AA199" s="105"/>
      <c r="AB199" s="40"/>
      <c r="AD199" s="42"/>
      <c r="AE199" s="42"/>
      <c r="AF199" s="42"/>
      <c r="AG199" s="42"/>
    </row>
    <row r="200" spans="8:33" s="33" customFormat="1">
      <c r="H200" s="42"/>
      <c r="K200" s="42"/>
      <c r="M200" s="55"/>
      <c r="P200" s="55"/>
      <c r="W200" s="59"/>
      <c r="X200" s="59"/>
      <c r="Y200" s="59"/>
      <c r="Z200" s="59"/>
      <c r="AA200" s="105"/>
      <c r="AB200" s="40"/>
      <c r="AD200" s="42"/>
      <c r="AE200" s="42"/>
      <c r="AF200" s="42"/>
      <c r="AG200" s="42"/>
    </row>
    <row r="201" spans="8:33" s="33" customFormat="1">
      <c r="H201" s="42"/>
      <c r="K201" s="42"/>
      <c r="M201" s="55"/>
      <c r="P201" s="55"/>
      <c r="W201" s="59"/>
      <c r="X201" s="59"/>
      <c r="Y201" s="59"/>
      <c r="Z201" s="59"/>
      <c r="AA201" s="105"/>
      <c r="AB201" s="40"/>
      <c r="AD201" s="42"/>
      <c r="AE201" s="42"/>
      <c r="AF201" s="42"/>
      <c r="AG201" s="42"/>
    </row>
    <row r="202" spans="8:33" s="33" customFormat="1">
      <c r="H202" s="42"/>
      <c r="K202" s="42"/>
      <c r="M202" s="55"/>
      <c r="P202" s="55"/>
      <c r="W202" s="59"/>
      <c r="X202" s="59"/>
      <c r="Y202" s="59"/>
      <c r="Z202" s="59"/>
      <c r="AA202" s="105"/>
      <c r="AB202" s="40"/>
      <c r="AD202" s="42"/>
      <c r="AE202" s="42"/>
      <c r="AF202" s="42"/>
      <c r="AG202" s="42"/>
    </row>
    <row r="203" spans="8:33" s="33" customFormat="1">
      <c r="H203" s="42"/>
      <c r="K203" s="42"/>
      <c r="M203" s="55"/>
      <c r="P203" s="55"/>
      <c r="W203" s="59"/>
      <c r="X203" s="59"/>
      <c r="Y203" s="59"/>
      <c r="Z203" s="59"/>
      <c r="AA203" s="105"/>
      <c r="AB203" s="40"/>
      <c r="AD203" s="42"/>
      <c r="AE203" s="42"/>
      <c r="AF203" s="42"/>
      <c r="AG203" s="42"/>
    </row>
    <row r="204" spans="8:33" s="33" customFormat="1">
      <c r="H204" s="42"/>
      <c r="K204" s="42"/>
      <c r="M204" s="55"/>
      <c r="P204" s="55"/>
      <c r="W204" s="59"/>
      <c r="X204" s="59"/>
      <c r="Y204" s="59"/>
      <c r="Z204" s="59"/>
      <c r="AA204" s="105"/>
      <c r="AB204" s="40"/>
      <c r="AD204" s="42"/>
      <c r="AE204" s="42"/>
      <c r="AF204" s="42"/>
      <c r="AG204" s="42"/>
    </row>
    <row r="205" spans="8:33" s="33" customFormat="1">
      <c r="H205" s="42"/>
      <c r="K205" s="42"/>
      <c r="M205" s="55"/>
      <c r="P205" s="55"/>
      <c r="W205" s="59"/>
      <c r="X205" s="59"/>
      <c r="Y205" s="59"/>
      <c r="Z205" s="59"/>
      <c r="AA205" s="105"/>
      <c r="AB205" s="40"/>
      <c r="AD205" s="42"/>
      <c r="AE205" s="42"/>
      <c r="AF205" s="42"/>
      <c r="AG205" s="42"/>
    </row>
    <row r="206" spans="8:33" s="33" customFormat="1">
      <c r="H206" s="42"/>
      <c r="K206" s="42"/>
      <c r="M206" s="55"/>
      <c r="P206" s="55"/>
      <c r="W206" s="59"/>
      <c r="X206" s="59"/>
      <c r="Y206" s="59"/>
      <c r="Z206" s="59"/>
      <c r="AA206" s="105"/>
      <c r="AB206" s="40"/>
      <c r="AD206" s="42"/>
      <c r="AE206" s="42"/>
      <c r="AF206" s="42"/>
      <c r="AG206" s="42"/>
    </row>
    <row r="207" spans="8:33" s="33" customFormat="1">
      <c r="H207" s="42"/>
      <c r="K207" s="42"/>
      <c r="M207" s="55"/>
      <c r="P207" s="55"/>
      <c r="W207" s="59"/>
      <c r="X207" s="59"/>
      <c r="Y207" s="59"/>
      <c r="Z207" s="59"/>
      <c r="AA207" s="105"/>
      <c r="AB207" s="40"/>
      <c r="AD207" s="42"/>
      <c r="AE207" s="42"/>
      <c r="AF207" s="42"/>
      <c r="AG207" s="42"/>
    </row>
    <row r="208" spans="8:33" s="33" customFormat="1">
      <c r="H208" s="42"/>
      <c r="K208" s="42"/>
      <c r="M208" s="55"/>
      <c r="P208" s="55"/>
      <c r="W208" s="59"/>
      <c r="X208" s="59"/>
      <c r="Y208" s="59"/>
      <c r="Z208" s="59"/>
      <c r="AA208" s="105"/>
      <c r="AB208" s="40"/>
      <c r="AD208" s="42"/>
      <c r="AE208" s="42"/>
      <c r="AF208" s="42"/>
      <c r="AG208" s="42"/>
    </row>
    <row r="209" spans="8:33" s="33" customFormat="1">
      <c r="H209" s="42"/>
      <c r="K209" s="42"/>
      <c r="M209" s="55"/>
      <c r="P209" s="55"/>
      <c r="W209" s="59"/>
      <c r="X209" s="59"/>
      <c r="Y209" s="59"/>
      <c r="Z209" s="59"/>
      <c r="AA209" s="105"/>
      <c r="AB209" s="40"/>
      <c r="AD209" s="42"/>
      <c r="AE209" s="42"/>
      <c r="AF209" s="42"/>
      <c r="AG209" s="42"/>
    </row>
    <row r="210" spans="8:33" s="33" customFormat="1">
      <c r="H210" s="42"/>
      <c r="K210" s="42"/>
      <c r="M210" s="55"/>
      <c r="P210" s="55"/>
      <c r="W210" s="59"/>
      <c r="X210" s="59"/>
      <c r="Y210" s="59"/>
      <c r="Z210" s="59"/>
      <c r="AA210" s="105"/>
      <c r="AB210" s="40"/>
      <c r="AD210" s="42"/>
      <c r="AE210" s="42"/>
      <c r="AF210" s="42"/>
      <c r="AG210" s="42"/>
    </row>
    <row r="211" spans="8:33" s="33" customFormat="1">
      <c r="H211" s="42"/>
      <c r="K211" s="42"/>
      <c r="M211" s="55"/>
      <c r="P211" s="55"/>
      <c r="W211" s="59"/>
      <c r="X211" s="59"/>
      <c r="Y211" s="59"/>
      <c r="Z211" s="59"/>
      <c r="AA211" s="105"/>
      <c r="AB211" s="40"/>
      <c r="AD211" s="42"/>
      <c r="AE211" s="42"/>
      <c r="AF211" s="42"/>
      <c r="AG211" s="42"/>
    </row>
    <row r="212" spans="8:33" s="33" customFormat="1">
      <c r="H212" s="42"/>
      <c r="K212" s="42"/>
      <c r="M212" s="55"/>
      <c r="P212" s="55"/>
      <c r="W212" s="59"/>
      <c r="X212" s="59"/>
      <c r="Y212" s="59"/>
      <c r="Z212" s="59"/>
      <c r="AA212" s="105"/>
      <c r="AB212" s="40"/>
      <c r="AD212" s="42"/>
      <c r="AE212" s="42"/>
      <c r="AF212" s="42"/>
      <c r="AG212" s="42"/>
    </row>
    <row r="213" spans="8:33" s="33" customFormat="1">
      <c r="H213" s="42"/>
      <c r="K213" s="42"/>
      <c r="M213" s="55"/>
      <c r="P213" s="55"/>
      <c r="W213" s="59"/>
      <c r="X213" s="59"/>
      <c r="Y213" s="59"/>
      <c r="Z213" s="59"/>
      <c r="AA213" s="105"/>
      <c r="AB213" s="40"/>
      <c r="AD213" s="42"/>
      <c r="AE213" s="42"/>
      <c r="AF213" s="42"/>
      <c r="AG213" s="42"/>
    </row>
    <row r="214" spans="8:33" s="33" customFormat="1">
      <c r="H214" s="42"/>
      <c r="K214" s="42"/>
      <c r="M214" s="55"/>
      <c r="P214" s="55"/>
      <c r="W214" s="59"/>
      <c r="X214" s="59"/>
      <c r="Y214" s="59"/>
      <c r="Z214" s="59"/>
      <c r="AA214" s="105"/>
      <c r="AB214" s="40"/>
      <c r="AD214" s="42"/>
      <c r="AE214" s="42"/>
      <c r="AF214" s="42"/>
      <c r="AG214" s="42"/>
    </row>
    <row r="215" spans="8:33" s="33" customFormat="1">
      <c r="H215" s="42"/>
      <c r="K215" s="42"/>
      <c r="M215" s="55"/>
      <c r="P215" s="55"/>
      <c r="W215" s="59"/>
      <c r="X215" s="59"/>
      <c r="Y215" s="59"/>
      <c r="Z215" s="59"/>
      <c r="AA215" s="105"/>
      <c r="AB215" s="40"/>
      <c r="AD215" s="42"/>
      <c r="AE215" s="42"/>
      <c r="AF215" s="42"/>
      <c r="AG215" s="42"/>
    </row>
    <row r="216" spans="8:33" s="33" customFormat="1">
      <c r="H216" s="42"/>
      <c r="K216" s="42"/>
      <c r="M216" s="55"/>
      <c r="P216" s="55"/>
      <c r="W216" s="59"/>
      <c r="X216" s="59"/>
      <c r="Y216" s="59"/>
      <c r="Z216" s="59"/>
      <c r="AA216" s="105"/>
      <c r="AB216" s="40"/>
      <c r="AD216" s="42"/>
      <c r="AE216" s="42"/>
      <c r="AF216" s="42"/>
      <c r="AG216" s="42"/>
    </row>
    <row r="217" spans="8:33" s="33" customFormat="1">
      <c r="H217" s="42"/>
      <c r="K217" s="42"/>
      <c r="M217" s="55"/>
      <c r="P217" s="55"/>
      <c r="W217" s="59"/>
      <c r="X217" s="59"/>
      <c r="Y217" s="59"/>
      <c r="Z217" s="59"/>
      <c r="AA217" s="105"/>
      <c r="AB217" s="40"/>
      <c r="AD217" s="42"/>
      <c r="AE217" s="42"/>
      <c r="AF217" s="42"/>
      <c r="AG217" s="42"/>
    </row>
    <row r="218" spans="8:33" s="33" customFormat="1">
      <c r="H218" s="42"/>
      <c r="K218" s="42"/>
      <c r="M218" s="55"/>
      <c r="P218" s="55"/>
      <c r="W218" s="59"/>
      <c r="X218" s="59"/>
      <c r="Y218" s="59"/>
      <c r="Z218" s="59"/>
      <c r="AA218" s="105"/>
      <c r="AB218" s="40"/>
      <c r="AD218" s="42"/>
      <c r="AE218" s="42"/>
      <c r="AF218" s="42"/>
      <c r="AG218" s="42"/>
    </row>
    <row r="219" spans="8:33" s="33" customFormat="1">
      <c r="H219" s="42"/>
      <c r="K219" s="42"/>
      <c r="M219" s="55"/>
      <c r="P219" s="55"/>
      <c r="W219" s="59"/>
      <c r="X219" s="59"/>
      <c r="Y219" s="59"/>
      <c r="Z219" s="59"/>
      <c r="AA219" s="105"/>
      <c r="AB219" s="40"/>
      <c r="AD219" s="42"/>
      <c r="AE219" s="42"/>
      <c r="AF219" s="42"/>
      <c r="AG219" s="42"/>
    </row>
    <row r="220" spans="8:33" s="33" customFormat="1">
      <c r="H220" s="42"/>
      <c r="K220" s="42"/>
      <c r="M220" s="55"/>
      <c r="P220" s="55"/>
      <c r="W220" s="59"/>
      <c r="X220" s="59"/>
      <c r="Y220" s="59"/>
      <c r="Z220" s="59"/>
      <c r="AA220" s="105"/>
      <c r="AB220" s="40"/>
      <c r="AD220" s="42"/>
      <c r="AE220" s="42"/>
      <c r="AF220" s="42"/>
      <c r="AG220" s="42"/>
    </row>
    <row r="221" spans="8:33" s="33" customFormat="1">
      <c r="H221" s="42"/>
      <c r="K221" s="42"/>
      <c r="M221" s="55"/>
      <c r="P221" s="55"/>
      <c r="W221" s="59"/>
      <c r="X221" s="59"/>
      <c r="Y221" s="59"/>
      <c r="Z221" s="59"/>
      <c r="AA221" s="105"/>
      <c r="AB221" s="40"/>
      <c r="AD221" s="42"/>
      <c r="AE221" s="42"/>
      <c r="AF221" s="42"/>
      <c r="AG221" s="42"/>
    </row>
    <row r="222" spans="8:33" s="33" customFormat="1">
      <c r="H222" s="42"/>
      <c r="K222" s="42"/>
      <c r="M222" s="55"/>
      <c r="P222" s="55"/>
      <c r="W222" s="59"/>
      <c r="X222" s="59"/>
      <c r="Y222" s="59"/>
      <c r="Z222" s="59"/>
      <c r="AA222" s="105"/>
      <c r="AB222" s="40"/>
      <c r="AD222" s="42"/>
      <c r="AE222" s="42"/>
      <c r="AF222" s="42"/>
      <c r="AG222" s="42"/>
    </row>
    <row r="223" spans="8:33" s="33" customFormat="1">
      <c r="H223" s="42"/>
      <c r="K223" s="42"/>
      <c r="M223" s="55"/>
      <c r="P223" s="55"/>
      <c r="W223" s="59"/>
      <c r="X223" s="59"/>
      <c r="Y223" s="59"/>
      <c r="Z223" s="59"/>
      <c r="AA223" s="105"/>
      <c r="AB223" s="40"/>
      <c r="AD223" s="42"/>
      <c r="AE223" s="42"/>
      <c r="AF223" s="42"/>
      <c r="AG223" s="42"/>
    </row>
    <row r="224" spans="8:33" s="33" customFormat="1">
      <c r="H224" s="42"/>
      <c r="K224" s="42"/>
      <c r="M224" s="55"/>
      <c r="P224" s="55"/>
      <c r="W224" s="59"/>
      <c r="X224" s="59"/>
      <c r="Y224" s="59"/>
      <c r="Z224" s="59"/>
      <c r="AA224" s="105"/>
      <c r="AB224" s="40"/>
      <c r="AD224" s="42"/>
      <c r="AE224" s="42"/>
      <c r="AF224" s="42"/>
      <c r="AG224" s="42"/>
    </row>
    <row r="225" spans="8:33" s="33" customFormat="1">
      <c r="H225" s="42"/>
      <c r="K225" s="42"/>
      <c r="M225" s="55"/>
      <c r="P225" s="55"/>
      <c r="W225" s="59"/>
      <c r="X225" s="59"/>
      <c r="Y225" s="59"/>
      <c r="Z225" s="59"/>
      <c r="AA225" s="105"/>
      <c r="AB225" s="40"/>
      <c r="AD225" s="42"/>
      <c r="AE225" s="42"/>
      <c r="AF225" s="42"/>
      <c r="AG225" s="42"/>
    </row>
    <row r="226" spans="8:33" s="33" customFormat="1">
      <c r="H226" s="42"/>
      <c r="K226" s="42"/>
      <c r="M226" s="55"/>
      <c r="P226" s="55"/>
      <c r="W226" s="59"/>
      <c r="X226" s="59"/>
      <c r="Y226" s="59"/>
      <c r="Z226" s="59"/>
      <c r="AA226" s="105"/>
      <c r="AB226" s="40"/>
      <c r="AD226" s="42"/>
      <c r="AE226" s="42"/>
      <c r="AF226" s="42"/>
      <c r="AG226" s="42"/>
    </row>
    <row r="227" spans="8:33" s="33" customFormat="1">
      <c r="H227" s="42"/>
      <c r="K227" s="42"/>
      <c r="M227" s="55"/>
      <c r="P227" s="55"/>
      <c r="W227" s="59"/>
      <c r="X227" s="59"/>
      <c r="Y227" s="59"/>
      <c r="Z227" s="59"/>
      <c r="AA227" s="105"/>
      <c r="AB227" s="40"/>
      <c r="AD227" s="42"/>
      <c r="AE227" s="42"/>
      <c r="AF227" s="42"/>
      <c r="AG227" s="42"/>
    </row>
    <row r="228" spans="8:33" s="33" customFormat="1">
      <c r="H228" s="42"/>
      <c r="K228" s="42"/>
      <c r="M228" s="55"/>
      <c r="P228" s="55"/>
      <c r="W228" s="59"/>
      <c r="X228" s="59"/>
      <c r="Y228" s="59"/>
      <c r="Z228" s="59"/>
      <c r="AA228" s="105"/>
      <c r="AB228" s="40"/>
      <c r="AD228" s="42"/>
      <c r="AE228" s="42"/>
      <c r="AF228" s="42"/>
      <c r="AG228" s="42"/>
    </row>
    <row r="229" spans="8:33" s="33" customFormat="1">
      <c r="H229" s="42"/>
      <c r="K229" s="42"/>
      <c r="M229" s="55"/>
      <c r="P229" s="55"/>
      <c r="W229" s="59"/>
      <c r="X229" s="59"/>
      <c r="Y229" s="59"/>
      <c r="Z229" s="59"/>
      <c r="AA229" s="105"/>
      <c r="AB229" s="40"/>
      <c r="AD229" s="42"/>
      <c r="AE229" s="42"/>
      <c r="AF229" s="42"/>
      <c r="AG229" s="42"/>
    </row>
    <row r="230" spans="8:33" s="33" customFormat="1">
      <c r="H230" s="42"/>
      <c r="K230" s="42"/>
      <c r="M230" s="55"/>
      <c r="P230" s="55"/>
      <c r="W230" s="59"/>
      <c r="X230" s="59"/>
      <c r="Y230" s="59"/>
      <c r="Z230" s="59"/>
      <c r="AA230" s="105"/>
      <c r="AB230" s="40"/>
      <c r="AD230" s="42"/>
      <c r="AE230" s="42"/>
      <c r="AF230" s="42"/>
      <c r="AG230" s="42"/>
    </row>
    <row r="231" spans="8:33" s="33" customFormat="1">
      <c r="H231" s="42"/>
      <c r="K231" s="42"/>
      <c r="M231" s="55"/>
      <c r="P231" s="55"/>
      <c r="W231" s="59"/>
      <c r="X231" s="59"/>
      <c r="Y231" s="59"/>
      <c r="Z231" s="59"/>
      <c r="AA231" s="105"/>
      <c r="AB231" s="40"/>
      <c r="AD231" s="42"/>
      <c r="AE231" s="42"/>
      <c r="AF231" s="42"/>
      <c r="AG231" s="42"/>
    </row>
    <row r="232" spans="8:33" s="33" customFormat="1">
      <c r="H232" s="42"/>
      <c r="K232" s="42"/>
      <c r="M232" s="55"/>
      <c r="P232" s="55"/>
      <c r="W232" s="59"/>
      <c r="X232" s="59"/>
      <c r="Y232" s="59"/>
      <c r="Z232" s="59"/>
      <c r="AA232" s="105"/>
      <c r="AB232" s="40"/>
      <c r="AD232" s="42"/>
      <c r="AE232" s="42"/>
      <c r="AF232" s="42"/>
      <c r="AG232" s="42"/>
    </row>
    <row r="233" spans="8:33" s="33" customFormat="1">
      <c r="H233" s="42"/>
      <c r="K233" s="42"/>
      <c r="M233" s="55"/>
      <c r="P233" s="55"/>
      <c r="W233" s="59"/>
      <c r="X233" s="59"/>
      <c r="Y233" s="59"/>
      <c r="Z233" s="59"/>
      <c r="AA233" s="105"/>
      <c r="AB233" s="40"/>
      <c r="AD233" s="42"/>
      <c r="AE233" s="42"/>
      <c r="AF233" s="42"/>
      <c r="AG233" s="42"/>
    </row>
    <row r="234" spans="8:33" s="33" customFormat="1">
      <c r="H234" s="42"/>
      <c r="K234" s="42"/>
      <c r="M234" s="55"/>
      <c r="P234" s="55"/>
      <c r="W234" s="59"/>
      <c r="X234" s="59"/>
      <c r="Y234" s="59"/>
      <c r="Z234" s="59"/>
      <c r="AA234" s="105"/>
      <c r="AB234" s="40"/>
      <c r="AD234" s="42"/>
      <c r="AE234" s="42"/>
      <c r="AF234" s="42"/>
      <c r="AG234" s="42"/>
    </row>
    <row r="235" spans="8:33" s="33" customFormat="1">
      <c r="H235" s="42"/>
      <c r="K235" s="42"/>
      <c r="M235" s="55"/>
      <c r="P235" s="55"/>
      <c r="W235" s="59"/>
      <c r="X235" s="59"/>
      <c r="Y235" s="59"/>
      <c r="Z235" s="59"/>
      <c r="AA235" s="105"/>
      <c r="AB235" s="40"/>
      <c r="AD235" s="42"/>
      <c r="AE235" s="42"/>
      <c r="AF235" s="42"/>
      <c r="AG235" s="42"/>
    </row>
    <row r="236" spans="8:33" s="33" customFormat="1">
      <c r="H236" s="42"/>
      <c r="K236" s="42"/>
      <c r="M236" s="55"/>
      <c r="P236" s="55"/>
      <c r="W236" s="59"/>
      <c r="X236" s="59"/>
      <c r="Y236" s="59"/>
      <c r="Z236" s="59"/>
      <c r="AA236" s="105"/>
      <c r="AB236" s="40"/>
      <c r="AD236" s="42"/>
      <c r="AE236" s="42"/>
      <c r="AF236" s="42"/>
      <c r="AG236" s="42"/>
    </row>
    <row r="237" spans="8:33" s="33" customFormat="1">
      <c r="H237" s="42"/>
      <c r="K237" s="42"/>
      <c r="M237" s="55"/>
      <c r="P237" s="55"/>
      <c r="W237" s="59"/>
      <c r="X237" s="59"/>
      <c r="Y237" s="59"/>
      <c r="Z237" s="59"/>
      <c r="AA237" s="105"/>
      <c r="AB237" s="40"/>
      <c r="AD237" s="42"/>
      <c r="AE237" s="42"/>
      <c r="AF237" s="42"/>
      <c r="AG237" s="42"/>
    </row>
    <row r="238" spans="8:33" s="33" customFormat="1">
      <c r="H238" s="42"/>
      <c r="K238" s="42"/>
      <c r="M238" s="55"/>
      <c r="P238" s="55"/>
      <c r="W238" s="59"/>
      <c r="X238" s="59"/>
      <c r="Y238" s="59"/>
      <c r="Z238" s="59"/>
      <c r="AA238" s="105"/>
      <c r="AB238" s="40"/>
      <c r="AD238" s="42"/>
      <c r="AE238" s="42"/>
      <c r="AF238" s="42"/>
      <c r="AG238" s="42"/>
    </row>
    <row r="239" spans="8:33" s="33" customFormat="1">
      <c r="H239" s="42"/>
      <c r="K239" s="42"/>
      <c r="M239" s="55"/>
      <c r="P239" s="55"/>
      <c r="W239" s="59"/>
      <c r="X239" s="59"/>
      <c r="Y239" s="59"/>
      <c r="Z239" s="59"/>
      <c r="AA239" s="105"/>
      <c r="AB239" s="40"/>
      <c r="AD239" s="42"/>
      <c r="AE239" s="42"/>
      <c r="AF239" s="42"/>
      <c r="AG239" s="42"/>
    </row>
    <row r="240" spans="8:33" s="33" customFormat="1">
      <c r="H240" s="42"/>
      <c r="K240" s="42"/>
      <c r="M240" s="55"/>
      <c r="P240" s="55"/>
      <c r="W240" s="59"/>
      <c r="X240" s="59"/>
      <c r="Y240" s="59"/>
      <c r="Z240" s="59"/>
      <c r="AA240" s="105"/>
      <c r="AB240" s="40"/>
      <c r="AD240" s="42"/>
      <c r="AE240" s="42"/>
      <c r="AF240" s="42"/>
      <c r="AG240" s="42"/>
    </row>
    <row r="241" spans="8:33" s="33" customFormat="1">
      <c r="H241" s="42"/>
      <c r="K241" s="42"/>
      <c r="M241" s="55"/>
      <c r="P241" s="55"/>
      <c r="W241" s="59"/>
      <c r="X241" s="59"/>
      <c r="Y241" s="59"/>
      <c r="Z241" s="59"/>
      <c r="AA241" s="105"/>
      <c r="AB241" s="40"/>
      <c r="AD241" s="42"/>
      <c r="AE241" s="42"/>
      <c r="AF241" s="42"/>
      <c r="AG241" s="42"/>
    </row>
    <row r="242" spans="8:33" s="33" customFormat="1">
      <c r="H242" s="42"/>
      <c r="K242" s="42"/>
      <c r="M242" s="55"/>
      <c r="P242" s="55"/>
      <c r="W242" s="59"/>
      <c r="X242" s="59"/>
      <c r="Y242" s="59"/>
      <c r="Z242" s="59"/>
      <c r="AA242" s="105"/>
      <c r="AB242" s="40"/>
      <c r="AD242" s="42"/>
      <c r="AE242" s="42"/>
      <c r="AF242" s="42"/>
      <c r="AG242" s="42"/>
    </row>
    <row r="243" spans="8:33" s="33" customFormat="1">
      <c r="H243" s="42"/>
      <c r="K243" s="42"/>
      <c r="M243" s="55"/>
      <c r="P243" s="55"/>
      <c r="W243" s="59"/>
      <c r="X243" s="59"/>
      <c r="Y243" s="59"/>
      <c r="Z243" s="59"/>
      <c r="AA243" s="105"/>
      <c r="AB243" s="40"/>
      <c r="AD243" s="42"/>
      <c r="AE243" s="42"/>
      <c r="AF243" s="42"/>
      <c r="AG243" s="42"/>
    </row>
    <row r="244" spans="8:33" s="33" customFormat="1">
      <c r="H244" s="42"/>
      <c r="K244" s="42"/>
      <c r="M244" s="55"/>
      <c r="P244" s="55"/>
      <c r="W244" s="59"/>
      <c r="X244" s="59"/>
      <c r="Y244" s="59"/>
      <c r="Z244" s="59"/>
      <c r="AA244" s="105"/>
      <c r="AB244" s="40"/>
      <c r="AD244" s="42"/>
      <c r="AE244" s="42"/>
      <c r="AF244" s="42"/>
      <c r="AG244" s="42"/>
    </row>
    <row r="245" spans="8:33" s="33" customFormat="1">
      <c r="H245" s="42"/>
      <c r="K245" s="42"/>
      <c r="M245" s="55"/>
      <c r="P245" s="55"/>
      <c r="W245" s="59"/>
      <c r="X245" s="59"/>
      <c r="Y245" s="59"/>
      <c r="Z245" s="59"/>
      <c r="AA245" s="105"/>
      <c r="AB245" s="40"/>
      <c r="AD245" s="42"/>
      <c r="AE245" s="42"/>
      <c r="AF245" s="42"/>
      <c r="AG245" s="42"/>
    </row>
    <row r="246" spans="8:33" s="33" customFormat="1">
      <c r="H246" s="42"/>
      <c r="K246" s="42"/>
      <c r="M246" s="55"/>
      <c r="P246" s="55"/>
      <c r="W246" s="59"/>
      <c r="X246" s="59"/>
      <c r="Y246" s="59"/>
      <c r="Z246" s="59"/>
      <c r="AA246" s="105"/>
      <c r="AB246" s="40"/>
      <c r="AD246" s="42"/>
      <c r="AE246" s="42"/>
      <c r="AF246" s="42"/>
      <c r="AG246" s="42"/>
    </row>
    <row r="247" spans="8:33" s="33" customFormat="1">
      <c r="H247" s="42"/>
      <c r="K247" s="42"/>
      <c r="M247" s="55"/>
      <c r="P247" s="55"/>
      <c r="W247" s="59"/>
      <c r="X247" s="59"/>
      <c r="Y247" s="59"/>
      <c r="Z247" s="59"/>
      <c r="AA247" s="105"/>
      <c r="AB247" s="40"/>
      <c r="AD247" s="42"/>
      <c r="AE247" s="42"/>
      <c r="AF247" s="42"/>
      <c r="AG247" s="42"/>
    </row>
    <row r="248" spans="8:33" s="33" customFormat="1">
      <c r="H248" s="42"/>
      <c r="K248" s="42"/>
      <c r="M248" s="55"/>
      <c r="P248" s="55"/>
      <c r="W248" s="59"/>
      <c r="X248" s="59"/>
      <c r="Y248" s="59"/>
      <c r="Z248" s="59"/>
      <c r="AA248" s="105"/>
      <c r="AB248" s="40"/>
      <c r="AD248" s="42"/>
      <c r="AE248" s="42"/>
      <c r="AF248" s="42"/>
      <c r="AG248" s="42"/>
    </row>
    <row r="249" spans="8:33" s="33" customFormat="1">
      <c r="H249" s="42"/>
      <c r="K249" s="42"/>
      <c r="M249" s="55"/>
      <c r="P249" s="55"/>
      <c r="W249" s="59"/>
      <c r="X249" s="59"/>
      <c r="Y249" s="59"/>
      <c r="Z249" s="59"/>
      <c r="AA249" s="105"/>
      <c r="AB249" s="40"/>
      <c r="AD249" s="42"/>
      <c r="AE249" s="42"/>
      <c r="AF249" s="42"/>
      <c r="AG249" s="42"/>
    </row>
    <row r="250" spans="8:33" s="33" customFormat="1">
      <c r="H250" s="42"/>
      <c r="K250" s="42"/>
      <c r="M250" s="55"/>
      <c r="P250" s="55"/>
      <c r="W250" s="59"/>
      <c r="X250" s="59"/>
      <c r="Y250" s="59"/>
      <c r="Z250" s="59"/>
      <c r="AA250" s="105"/>
      <c r="AB250" s="40"/>
      <c r="AD250" s="42"/>
      <c r="AE250" s="42"/>
      <c r="AF250" s="42"/>
      <c r="AG250" s="42"/>
    </row>
    <row r="251" spans="8:33" s="33" customFormat="1">
      <c r="H251" s="42"/>
      <c r="K251" s="42"/>
      <c r="M251" s="55"/>
      <c r="P251" s="55"/>
      <c r="W251" s="59"/>
      <c r="X251" s="59"/>
      <c r="Y251" s="59"/>
      <c r="Z251" s="59"/>
      <c r="AA251" s="105"/>
      <c r="AB251" s="40"/>
      <c r="AD251" s="42"/>
      <c r="AE251" s="42"/>
      <c r="AF251" s="42"/>
      <c r="AG251" s="42"/>
    </row>
    <row r="252" spans="8:33" s="33" customFormat="1">
      <c r="H252" s="42"/>
      <c r="K252" s="42"/>
      <c r="M252" s="55"/>
      <c r="P252" s="55"/>
      <c r="W252" s="59"/>
      <c r="X252" s="59"/>
      <c r="Y252" s="59"/>
      <c r="Z252" s="59"/>
      <c r="AA252" s="105"/>
      <c r="AB252" s="40"/>
      <c r="AD252" s="42"/>
      <c r="AE252" s="42"/>
      <c r="AF252" s="42"/>
      <c r="AG252" s="42"/>
    </row>
    <row r="253" spans="8:33" s="33" customFormat="1">
      <c r="H253" s="42"/>
      <c r="K253" s="42"/>
      <c r="M253" s="55"/>
      <c r="P253" s="55"/>
      <c r="W253" s="59"/>
      <c r="X253" s="59"/>
      <c r="Y253" s="59"/>
      <c r="Z253" s="59"/>
      <c r="AA253" s="105"/>
      <c r="AB253" s="40"/>
      <c r="AD253" s="42"/>
      <c r="AE253" s="42"/>
      <c r="AF253" s="42"/>
      <c r="AG253" s="42"/>
    </row>
    <row r="254" spans="8:33" s="33" customFormat="1">
      <c r="H254" s="42"/>
      <c r="K254" s="42"/>
      <c r="M254" s="55"/>
      <c r="P254" s="55"/>
      <c r="W254" s="59"/>
      <c r="X254" s="59"/>
      <c r="Y254" s="59"/>
      <c r="Z254" s="59"/>
      <c r="AA254" s="105"/>
      <c r="AB254" s="40"/>
      <c r="AD254" s="42"/>
      <c r="AE254" s="42"/>
      <c r="AF254" s="42"/>
      <c r="AG254" s="42"/>
    </row>
    <row r="255" spans="8:33" s="33" customFormat="1">
      <c r="H255" s="42"/>
      <c r="K255" s="42"/>
      <c r="M255" s="55"/>
      <c r="P255" s="55"/>
      <c r="W255" s="59"/>
      <c r="X255" s="59"/>
      <c r="Y255" s="59"/>
      <c r="Z255" s="59"/>
      <c r="AA255" s="105"/>
      <c r="AB255" s="40"/>
      <c r="AD255" s="42"/>
      <c r="AE255" s="42"/>
      <c r="AF255" s="42"/>
      <c r="AG255" s="42"/>
    </row>
    <row r="256" spans="8:33" s="33" customFormat="1">
      <c r="H256" s="42"/>
      <c r="K256" s="42"/>
      <c r="M256" s="55"/>
      <c r="P256" s="55"/>
      <c r="W256" s="59"/>
      <c r="X256" s="59"/>
      <c r="Y256" s="59"/>
      <c r="Z256" s="59"/>
      <c r="AA256" s="105"/>
      <c r="AB256" s="40"/>
      <c r="AD256" s="42"/>
      <c r="AE256" s="42"/>
      <c r="AF256" s="42"/>
      <c r="AG256" s="42"/>
    </row>
    <row r="257" spans="8:33" s="33" customFormat="1">
      <c r="H257" s="42"/>
      <c r="K257" s="42"/>
      <c r="M257" s="55"/>
      <c r="P257" s="55"/>
      <c r="W257" s="59"/>
      <c r="X257" s="59"/>
      <c r="Y257" s="59"/>
      <c r="Z257" s="59"/>
      <c r="AA257" s="105"/>
      <c r="AB257" s="40"/>
      <c r="AD257" s="42"/>
      <c r="AE257" s="42"/>
      <c r="AF257" s="42"/>
      <c r="AG257" s="42"/>
    </row>
    <row r="258" spans="8:33" s="33" customFormat="1">
      <c r="H258" s="42"/>
      <c r="K258" s="42"/>
      <c r="M258" s="55"/>
      <c r="P258" s="55"/>
      <c r="W258" s="59"/>
      <c r="X258" s="59"/>
      <c r="Y258" s="59"/>
      <c r="Z258" s="59"/>
      <c r="AA258" s="105"/>
      <c r="AB258" s="40"/>
      <c r="AD258" s="42"/>
      <c r="AE258" s="42"/>
      <c r="AF258" s="42"/>
      <c r="AG258" s="42"/>
    </row>
    <row r="259" spans="8:33" s="33" customFormat="1">
      <c r="H259" s="42"/>
      <c r="K259" s="42"/>
      <c r="M259" s="55"/>
      <c r="P259" s="55"/>
      <c r="W259" s="59"/>
      <c r="X259" s="59"/>
      <c r="Y259" s="59"/>
      <c r="Z259" s="59"/>
      <c r="AA259" s="105"/>
      <c r="AB259" s="40"/>
      <c r="AD259" s="42"/>
      <c r="AE259" s="42"/>
      <c r="AF259" s="42"/>
      <c r="AG259" s="42"/>
    </row>
    <row r="260" spans="8:33" s="33" customFormat="1">
      <c r="H260" s="42"/>
      <c r="K260" s="42"/>
      <c r="M260" s="55"/>
      <c r="P260" s="55"/>
      <c r="W260" s="59"/>
      <c r="X260" s="59"/>
      <c r="Y260" s="59"/>
      <c r="Z260" s="59"/>
      <c r="AA260" s="105"/>
      <c r="AB260" s="40"/>
      <c r="AD260" s="42"/>
      <c r="AE260" s="42"/>
      <c r="AF260" s="42"/>
      <c r="AG260" s="42"/>
    </row>
    <row r="261" spans="8:33" s="33" customFormat="1">
      <c r="H261" s="42"/>
      <c r="K261" s="42"/>
      <c r="M261" s="55"/>
      <c r="P261" s="55"/>
      <c r="W261" s="59"/>
      <c r="X261" s="59"/>
      <c r="Y261" s="59"/>
      <c r="Z261" s="59"/>
      <c r="AA261" s="105"/>
      <c r="AB261" s="40"/>
      <c r="AD261" s="42"/>
      <c r="AE261" s="42"/>
      <c r="AF261" s="42"/>
      <c r="AG261" s="42"/>
    </row>
    <row r="262" spans="8:33" s="33" customFormat="1">
      <c r="H262" s="42"/>
      <c r="K262" s="42"/>
      <c r="M262" s="55"/>
      <c r="P262" s="55"/>
      <c r="W262" s="59"/>
      <c r="X262" s="59"/>
      <c r="Y262" s="59"/>
      <c r="Z262" s="59"/>
      <c r="AA262" s="105"/>
      <c r="AB262" s="40"/>
      <c r="AD262" s="42"/>
      <c r="AE262" s="42"/>
      <c r="AF262" s="42"/>
      <c r="AG262" s="42"/>
    </row>
    <row r="263" spans="8:33" s="33" customFormat="1">
      <c r="H263" s="42"/>
      <c r="K263" s="42"/>
      <c r="M263" s="55"/>
      <c r="P263" s="55"/>
      <c r="W263" s="59"/>
      <c r="X263" s="59"/>
      <c r="Y263" s="59"/>
      <c r="Z263" s="59"/>
      <c r="AA263" s="105"/>
      <c r="AB263" s="40"/>
      <c r="AD263" s="42"/>
      <c r="AE263" s="42"/>
      <c r="AF263" s="42"/>
      <c r="AG263" s="42"/>
    </row>
    <row r="264" spans="8:33" s="33" customFormat="1">
      <c r="H264" s="42"/>
      <c r="K264" s="42"/>
      <c r="M264" s="55"/>
      <c r="P264" s="55"/>
      <c r="W264" s="59"/>
      <c r="X264" s="59"/>
      <c r="Y264" s="59"/>
      <c r="Z264" s="59"/>
      <c r="AA264" s="105"/>
      <c r="AB264" s="40"/>
      <c r="AD264" s="42"/>
      <c r="AE264" s="42"/>
      <c r="AF264" s="42"/>
      <c r="AG264" s="42"/>
    </row>
    <row r="265" spans="8:33" s="33" customFormat="1">
      <c r="H265" s="42"/>
      <c r="K265" s="42"/>
      <c r="M265" s="55"/>
      <c r="P265" s="55"/>
      <c r="W265" s="59"/>
      <c r="X265" s="59"/>
      <c r="Y265" s="59"/>
      <c r="Z265" s="59"/>
      <c r="AA265" s="105"/>
      <c r="AB265" s="40"/>
      <c r="AD265" s="42"/>
      <c r="AE265" s="42"/>
      <c r="AF265" s="42"/>
      <c r="AG265" s="42"/>
    </row>
    <row r="266" spans="8:33" s="33" customFormat="1">
      <c r="H266" s="42"/>
      <c r="K266" s="42"/>
      <c r="M266" s="55"/>
      <c r="P266" s="55"/>
      <c r="W266" s="59"/>
      <c r="X266" s="59"/>
      <c r="Y266" s="59"/>
      <c r="Z266" s="59"/>
      <c r="AA266" s="105"/>
      <c r="AB266" s="40"/>
      <c r="AD266" s="42"/>
      <c r="AE266" s="42"/>
      <c r="AF266" s="42"/>
      <c r="AG266" s="42"/>
    </row>
    <row r="267" spans="8:33" s="33" customFormat="1">
      <c r="H267" s="42"/>
      <c r="K267" s="42"/>
      <c r="M267" s="55"/>
      <c r="P267" s="55"/>
      <c r="W267" s="59"/>
      <c r="X267" s="59"/>
      <c r="Y267" s="59"/>
      <c r="Z267" s="59"/>
      <c r="AA267" s="105"/>
      <c r="AB267" s="40"/>
      <c r="AD267" s="42"/>
      <c r="AE267" s="42"/>
      <c r="AF267" s="42"/>
      <c r="AG267" s="42"/>
    </row>
    <row r="268" spans="8:33" s="33" customFormat="1">
      <c r="H268" s="42"/>
      <c r="K268" s="42"/>
      <c r="M268" s="55"/>
      <c r="P268" s="55"/>
      <c r="W268" s="59"/>
      <c r="X268" s="59"/>
      <c r="Y268" s="59"/>
      <c r="Z268" s="59"/>
      <c r="AA268" s="105"/>
      <c r="AB268" s="40"/>
      <c r="AD268" s="42"/>
      <c r="AE268" s="42"/>
      <c r="AF268" s="42"/>
      <c r="AG268" s="42"/>
    </row>
    <row r="269" spans="8:33" s="33" customFormat="1">
      <c r="H269" s="42"/>
      <c r="K269" s="42"/>
      <c r="M269" s="55"/>
      <c r="P269" s="55"/>
      <c r="W269" s="59"/>
      <c r="X269" s="59"/>
      <c r="Y269" s="59"/>
      <c r="Z269" s="59"/>
      <c r="AA269" s="105"/>
      <c r="AB269" s="40"/>
      <c r="AD269" s="42"/>
      <c r="AE269" s="42"/>
      <c r="AF269" s="42"/>
      <c r="AG269" s="42"/>
    </row>
    <row r="270" spans="8:33" s="33" customFormat="1">
      <c r="H270" s="42"/>
      <c r="K270" s="42"/>
      <c r="M270" s="55"/>
      <c r="P270" s="55"/>
      <c r="W270" s="59"/>
      <c r="X270" s="59"/>
      <c r="Y270" s="59"/>
      <c r="Z270" s="59"/>
      <c r="AA270" s="105"/>
      <c r="AB270" s="40"/>
      <c r="AD270" s="42"/>
      <c r="AE270" s="42"/>
      <c r="AF270" s="42"/>
      <c r="AG270" s="42"/>
    </row>
    <row r="271" spans="8:33" s="33" customFormat="1">
      <c r="H271" s="42"/>
      <c r="K271" s="42"/>
      <c r="M271" s="55"/>
      <c r="P271" s="55"/>
      <c r="W271" s="59"/>
      <c r="X271" s="59"/>
      <c r="Y271" s="59"/>
      <c r="Z271" s="59"/>
      <c r="AA271" s="105"/>
      <c r="AB271" s="40"/>
      <c r="AD271" s="42"/>
      <c r="AE271" s="42"/>
      <c r="AF271" s="42"/>
      <c r="AG271" s="42"/>
    </row>
    <row r="272" spans="8:33" s="33" customFormat="1">
      <c r="H272" s="42"/>
      <c r="K272" s="42"/>
      <c r="M272" s="55"/>
      <c r="P272" s="55"/>
      <c r="W272" s="59"/>
      <c r="X272" s="59"/>
      <c r="Y272" s="59"/>
      <c r="Z272" s="59"/>
      <c r="AA272" s="105"/>
      <c r="AB272" s="40"/>
      <c r="AD272" s="42"/>
      <c r="AE272" s="42"/>
      <c r="AF272" s="42"/>
      <c r="AG272" s="42"/>
    </row>
    <row r="273" spans="8:33" s="33" customFormat="1">
      <c r="H273" s="42"/>
      <c r="K273" s="42"/>
      <c r="M273" s="55"/>
      <c r="P273" s="55"/>
      <c r="W273" s="59"/>
      <c r="X273" s="59"/>
      <c r="Y273" s="59"/>
      <c r="Z273" s="59"/>
      <c r="AA273" s="105"/>
      <c r="AB273" s="40"/>
      <c r="AD273" s="42"/>
      <c r="AE273" s="42"/>
      <c r="AF273" s="42"/>
      <c r="AG273" s="42"/>
    </row>
    <row r="274" spans="8:33" s="33" customFormat="1">
      <c r="H274" s="42"/>
      <c r="K274" s="42"/>
      <c r="M274" s="55"/>
      <c r="P274" s="55"/>
      <c r="W274" s="59"/>
      <c r="X274" s="59"/>
      <c r="Y274" s="59"/>
      <c r="Z274" s="59"/>
      <c r="AA274" s="105"/>
      <c r="AB274" s="40"/>
      <c r="AD274" s="42"/>
      <c r="AE274" s="42"/>
      <c r="AF274" s="42"/>
      <c r="AG274" s="42"/>
    </row>
    <row r="275" spans="8:33" s="33" customFormat="1">
      <c r="H275" s="42"/>
      <c r="K275" s="42"/>
      <c r="M275" s="55"/>
      <c r="P275" s="55"/>
      <c r="W275" s="59"/>
      <c r="X275" s="59"/>
      <c r="Y275" s="59"/>
      <c r="Z275" s="59"/>
      <c r="AA275" s="105"/>
      <c r="AB275" s="40"/>
      <c r="AD275" s="42"/>
      <c r="AE275" s="42"/>
      <c r="AF275" s="42"/>
      <c r="AG275" s="42"/>
    </row>
    <row r="276" spans="8:33" s="33" customFormat="1">
      <c r="H276" s="42"/>
      <c r="K276" s="42"/>
      <c r="M276" s="55"/>
      <c r="P276" s="55"/>
      <c r="W276" s="59"/>
      <c r="X276" s="59"/>
      <c r="Y276" s="59"/>
      <c r="Z276" s="59"/>
      <c r="AA276" s="105"/>
      <c r="AB276" s="40"/>
      <c r="AD276" s="42"/>
      <c r="AE276" s="42"/>
      <c r="AF276" s="42"/>
      <c r="AG276" s="42"/>
    </row>
    <row r="277" spans="8:33" s="33" customFormat="1">
      <c r="H277" s="42"/>
      <c r="K277" s="42"/>
      <c r="M277" s="55"/>
      <c r="P277" s="55"/>
      <c r="W277" s="59"/>
      <c r="X277" s="59"/>
      <c r="Y277" s="59"/>
      <c r="Z277" s="59"/>
      <c r="AA277" s="105"/>
      <c r="AB277" s="40"/>
      <c r="AD277" s="42"/>
      <c r="AE277" s="42"/>
      <c r="AF277" s="42"/>
      <c r="AG277" s="42"/>
    </row>
    <row r="278" spans="8:33" s="33" customFormat="1">
      <c r="H278" s="42"/>
      <c r="K278" s="42"/>
      <c r="M278" s="55"/>
      <c r="P278" s="55"/>
      <c r="W278" s="59"/>
      <c r="X278" s="59"/>
      <c r="Y278" s="59"/>
      <c r="Z278" s="59"/>
      <c r="AA278" s="105"/>
      <c r="AB278" s="40"/>
      <c r="AD278" s="42"/>
      <c r="AE278" s="42"/>
      <c r="AF278" s="42"/>
      <c r="AG278" s="42"/>
    </row>
    <row r="279" spans="8:33" s="33" customFormat="1">
      <c r="H279" s="42"/>
      <c r="K279" s="42"/>
      <c r="M279" s="55"/>
      <c r="P279" s="55"/>
      <c r="W279" s="59"/>
      <c r="X279" s="59"/>
      <c r="Y279" s="59"/>
      <c r="Z279" s="59"/>
      <c r="AA279" s="105"/>
      <c r="AB279" s="40"/>
      <c r="AD279" s="42"/>
      <c r="AE279" s="42"/>
      <c r="AF279" s="42"/>
      <c r="AG279" s="42"/>
    </row>
    <row r="280" spans="8:33" s="33" customFormat="1">
      <c r="H280" s="42"/>
      <c r="K280" s="42"/>
      <c r="M280" s="55"/>
      <c r="P280" s="55"/>
      <c r="W280" s="59"/>
      <c r="X280" s="59"/>
      <c r="Y280" s="59"/>
      <c r="Z280" s="59"/>
      <c r="AA280" s="105"/>
      <c r="AB280" s="40"/>
      <c r="AD280" s="42"/>
      <c r="AE280" s="42"/>
      <c r="AF280" s="42"/>
      <c r="AG280" s="42"/>
    </row>
    <row r="281" spans="8:33" s="33" customFormat="1">
      <c r="H281" s="42"/>
      <c r="K281" s="42"/>
      <c r="M281" s="55"/>
      <c r="P281" s="55"/>
      <c r="W281" s="59"/>
      <c r="X281" s="59"/>
      <c r="Y281" s="59"/>
      <c r="Z281" s="59"/>
      <c r="AA281" s="105"/>
      <c r="AB281" s="40"/>
      <c r="AD281" s="42"/>
      <c r="AE281" s="42"/>
      <c r="AF281" s="42"/>
      <c r="AG281" s="42"/>
    </row>
    <row r="282" spans="8:33" s="33" customFormat="1">
      <c r="H282" s="42"/>
      <c r="K282" s="42"/>
      <c r="M282" s="55"/>
      <c r="P282" s="55"/>
      <c r="W282" s="59"/>
      <c r="X282" s="59"/>
      <c r="Y282" s="59"/>
      <c r="Z282" s="59"/>
      <c r="AA282" s="105"/>
      <c r="AB282" s="40"/>
      <c r="AD282" s="42"/>
      <c r="AE282" s="42"/>
      <c r="AF282" s="42"/>
      <c r="AG282" s="42"/>
    </row>
    <row r="283" spans="8:33" s="33" customFormat="1">
      <c r="H283" s="42"/>
      <c r="K283" s="42"/>
      <c r="M283" s="55"/>
      <c r="P283" s="55"/>
      <c r="W283" s="59"/>
      <c r="X283" s="59"/>
      <c r="Y283" s="59"/>
      <c r="Z283" s="59"/>
      <c r="AA283" s="105"/>
      <c r="AB283" s="40"/>
      <c r="AD283" s="42"/>
      <c r="AE283" s="42"/>
      <c r="AF283" s="42"/>
      <c r="AG283" s="42"/>
    </row>
    <row r="284" spans="8:33" s="33" customFormat="1">
      <c r="H284" s="42"/>
      <c r="K284" s="42"/>
      <c r="M284" s="55"/>
      <c r="P284" s="55"/>
      <c r="W284" s="59"/>
      <c r="X284" s="59"/>
      <c r="Y284" s="59"/>
      <c r="Z284" s="59"/>
      <c r="AA284" s="105"/>
      <c r="AB284" s="40"/>
      <c r="AD284" s="42"/>
      <c r="AE284" s="42"/>
      <c r="AF284" s="42"/>
      <c r="AG284" s="42"/>
    </row>
    <row r="285" spans="8:33" s="33" customFormat="1">
      <c r="H285" s="42"/>
      <c r="K285" s="42"/>
      <c r="M285" s="55"/>
      <c r="P285" s="55"/>
      <c r="W285" s="59"/>
      <c r="X285" s="59"/>
      <c r="Y285" s="59"/>
      <c r="Z285" s="59"/>
      <c r="AA285" s="105"/>
      <c r="AB285" s="40"/>
      <c r="AD285" s="42"/>
      <c r="AE285" s="42"/>
      <c r="AF285" s="42"/>
      <c r="AG285" s="42"/>
    </row>
    <row r="286" spans="8:33" s="33" customFormat="1">
      <c r="H286" s="42"/>
      <c r="K286" s="42"/>
      <c r="M286" s="55"/>
      <c r="P286" s="55"/>
      <c r="W286" s="59"/>
      <c r="X286" s="59"/>
      <c r="Y286" s="59"/>
      <c r="Z286" s="59"/>
      <c r="AA286" s="105"/>
      <c r="AB286" s="40"/>
      <c r="AD286" s="42"/>
      <c r="AE286" s="42"/>
      <c r="AF286" s="42"/>
      <c r="AG286" s="42"/>
    </row>
    <row r="287" spans="8:33" s="33" customFormat="1">
      <c r="H287" s="42"/>
      <c r="K287" s="42"/>
      <c r="M287" s="55"/>
      <c r="P287" s="55"/>
      <c r="W287" s="59"/>
      <c r="X287" s="59"/>
      <c r="Y287" s="59"/>
      <c r="Z287" s="59"/>
      <c r="AA287" s="105"/>
      <c r="AB287" s="40"/>
      <c r="AD287" s="42"/>
      <c r="AE287" s="42"/>
      <c r="AF287" s="42"/>
      <c r="AG287" s="42"/>
    </row>
    <row r="288" spans="8:33" s="33" customFormat="1">
      <c r="H288" s="42"/>
      <c r="K288" s="42"/>
      <c r="M288" s="55"/>
      <c r="P288" s="55"/>
      <c r="W288" s="59"/>
      <c r="X288" s="59"/>
      <c r="Y288" s="59"/>
      <c r="Z288" s="59"/>
      <c r="AA288" s="105"/>
      <c r="AB288" s="40"/>
      <c r="AD288" s="42"/>
      <c r="AE288" s="42"/>
      <c r="AF288" s="42"/>
      <c r="AG288" s="42"/>
    </row>
    <row r="289" spans="8:33" s="33" customFormat="1">
      <c r="H289" s="42"/>
      <c r="K289" s="42"/>
      <c r="M289" s="55"/>
      <c r="P289" s="55"/>
      <c r="W289" s="59"/>
      <c r="X289" s="59"/>
      <c r="Y289" s="59"/>
      <c r="Z289" s="59"/>
      <c r="AA289" s="105"/>
      <c r="AB289" s="40"/>
      <c r="AD289" s="42"/>
      <c r="AE289" s="42"/>
      <c r="AF289" s="42"/>
      <c r="AG289" s="42"/>
    </row>
    <row r="290" spans="8:33" s="33" customFormat="1">
      <c r="H290" s="42"/>
      <c r="K290" s="42"/>
      <c r="M290" s="55"/>
      <c r="P290" s="55"/>
      <c r="W290" s="59"/>
      <c r="X290" s="59"/>
      <c r="Y290" s="59"/>
      <c r="Z290" s="59"/>
      <c r="AA290" s="105"/>
      <c r="AB290" s="40"/>
      <c r="AD290" s="42"/>
      <c r="AE290" s="42"/>
      <c r="AF290" s="42"/>
      <c r="AG290" s="42"/>
    </row>
    <row r="291" spans="8:33" s="33" customFormat="1">
      <c r="H291" s="42"/>
      <c r="K291" s="42"/>
      <c r="M291" s="55"/>
      <c r="P291" s="55"/>
      <c r="W291" s="59"/>
      <c r="X291" s="59"/>
      <c r="Y291" s="59"/>
      <c r="Z291" s="59"/>
      <c r="AA291" s="105"/>
      <c r="AB291" s="40"/>
      <c r="AD291" s="42"/>
      <c r="AE291" s="42"/>
      <c r="AF291" s="42"/>
      <c r="AG291" s="42"/>
    </row>
    <row r="292" spans="8:33" s="33" customFormat="1">
      <c r="H292" s="42"/>
      <c r="K292" s="42"/>
      <c r="M292" s="55"/>
      <c r="P292" s="55"/>
      <c r="W292" s="59"/>
      <c r="X292" s="59"/>
      <c r="Y292" s="59"/>
      <c r="Z292" s="59"/>
      <c r="AA292" s="105"/>
      <c r="AB292" s="40"/>
      <c r="AD292" s="42"/>
      <c r="AE292" s="42"/>
      <c r="AF292" s="42"/>
      <c r="AG292" s="42"/>
    </row>
    <row r="293" spans="8:33" s="33" customFormat="1">
      <c r="H293" s="42"/>
      <c r="K293" s="42"/>
      <c r="M293" s="55"/>
      <c r="P293" s="55"/>
      <c r="W293" s="59"/>
      <c r="X293" s="59"/>
      <c r="Y293" s="59"/>
      <c r="Z293" s="59"/>
      <c r="AA293" s="105"/>
      <c r="AB293" s="40"/>
      <c r="AD293" s="42"/>
      <c r="AE293" s="42"/>
      <c r="AF293" s="42"/>
      <c r="AG293" s="42"/>
    </row>
    <row r="294" spans="8:33" s="33" customFormat="1">
      <c r="H294" s="42"/>
      <c r="K294" s="42"/>
      <c r="M294" s="55"/>
      <c r="P294" s="55"/>
      <c r="W294" s="59"/>
      <c r="X294" s="59"/>
      <c r="Y294" s="59"/>
      <c r="Z294" s="59"/>
      <c r="AA294" s="105"/>
      <c r="AB294" s="40"/>
      <c r="AD294" s="42"/>
      <c r="AE294" s="42"/>
      <c r="AF294" s="42"/>
      <c r="AG294" s="42"/>
    </row>
    <row r="295" spans="8:33" s="33" customFormat="1">
      <c r="H295" s="42"/>
      <c r="K295" s="42"/>
      <c r="M295" s="55"/>
      <c r="P295" s="55"/>
      <c r="W295" s="59"/>
      <c r="X295" s="59"/>
      <c r="Y295" s="59"/>
      <c r="Z295" s="59"/>
      <c r="AA295" s="105"/>
      <c r="AB295" s="40"/>
      <c r="AD295" s="42"/>
      <c r="AE295" s="42"/>
      <c r="AF295" s="42"/>
      <c r="AG295" s="42"/>
    </row>
    <row r="296" spans="8:33" s="33" customFormat="1">
      <c r="H296" s="42"/>
      <c r="K296" s="42"/>
      <c r="M296" s="55"/>
      <c r="P296" s="55"/>
      <c r="W296" s="59"/>
      <c r="X296" s="59"/>
      <c r="Y296" s="59"/>
      <c r="Z296" s="59"/>
      <c r="AA296" s="105"/>
      <c r="AB296" s="40"/>
      <c r="AD296" s="42"/>
      <c r="AE296" s="42"/>
      <c r="AF296" s="42"/>
      <c r="AG296" s="42"/>
    </row>
    <row r="297" spans="8:33" s="33" customFormat="1">
      <c r="H297" s="42"/>
      <c r="K297" s="42"/>
      <c r="M297" s="55"/>
      <c r="P297" s="55"/>
      <c r="W297" s="59"/>
      <c r="X297" s="59"/>
      <c r="Y297" s="59"/>
      <c r="Z297" s="59"/>
      <c r="AA297" s="105"/>
      <c r="AB297" s="40"/>
      <c r="AD297" s="42"/>
      <c r="AE297" s="42"/>
      <c r="AF297" s="42"/>
      <c r="AG297" s="42"/>
    </row>
    <row r="298" spans="8:33" s="33" customFormat="1">
      <c r="H298" s="42"/>
      <c r="K298" s="42"/>
      <c r="M298" s="55"/>
      <c r="P298" s="55"/>
      <c r="W298" s="59"/>
      <c r="X298" s="59"/>
      <c r="Y298" s="59"/>
      <c r="Z298" s="59"/>
      <c r="AA298" s="105"/>
      <c r="AB298" s="40"/>
      <c r="AD298" s="42"/>
      <c r="AE298" s="42"/>
      <c r="AF298" s="42"/>
      <c r="AG298" s="42"/>
    </row>
    <row r="299" spans="8:33" s="33" customFormat="1">
      <c r="H299" s="42"/>
      <c r="K299" s="42"/>
      <c r="M299" s="55"/>
      <c r="P299" s="55"/>
      <c r="W299" s="59"/>
      <c r="X299" s="59"/>
      <c r="Y299" s="59"/>
      <c r="Z299" s="59"/>
      <c r="AA299" s="105"/>
      <c r="AB299" s="40"/>
      <c r="AD299" s="42"/>
      <c r="AE299" s="42"/>
      <c r="AF299" s="42"/>
      <c r="AG299" s="42"/>
    </row>
    <row r="300" spans="8:33" s="33" customFormat="1">
      <c r="H300" s="42"/>
      <c r="K300" s="42"/>
      <c r="M300" s="55"/>
      <c r="P300" s="55"/>
      <c r="W300" s="59"/>
      <c r="X300" s="59"/>
      <c r="Y300" s="59"/>
      <c r="Z300" s="59"/>
      <c r="AA300" s="105"/>
      <c r="AB300" s="40"/>
      <c r="AD300" s="42"/>
      <c r="AE300" s="42"/>
      <c r="AF300" s="42"/>
      <c r="AG300" s="42"/>
    </row>
    <row r="301" spans="8:33" s="33" customFormat="1">
      <c r="H301" s="42"/>
      <c r="K301" s="42"/>
      <c r="M301" s="55"/>
      <c r="P301" s="55"/>
      <c r="W301" s="59"/>
      <c r="X301" s="59"/>
      <c r="Y301" s="59"/>
      <c r="Z301" s="59"/>
      <c r="AA301" s="105"/>
      <c r="AB301" s="40"/>
      <c r="AD301" s="42"/>
      <c r="AE301" s="42"/>
      <c r="AF301" s="42"/>
      <c r="AG301" s="42"/>
    </row>
    <row r="302" spans="8:33" s="33" customFormat="1">
      <c r="H302" s="42"/>
      <c r="K302" s="42"/>
      <c r="M302" s="55"/>
      <c r="P302" s="55"/>
      <c r="W302" s="59"/>
      <c r="X302" s="59"/>
      <c r="Y302" s="59"/>
      <c r="Z302" s="59"/>
      <c r="AA302" s="105"/>
      <c r="AB302" s="40"/>
      <c r="AD302" s="42"/>
      <c r="AE302" s="42"/>
      <c r="AF302" s="42"/>
      <c r="AG302" s="42"/>
    </row>
    <row r="303" spans="8:33" s="33" customFormat="1">
      <c r="H303" s="42"/>
      <c r="K303" s="42"/>
      <c r="M303" s="55"/>
      <c r="P303" s="55"/>
      <c r="W303" s="59"/>
      <c r="X303" s="59"/>
      <c r="Y303" s="59"/>
      <c r="Z303" s="59"/>
      <c r="AA303" s="105"/>
      <c r="AB303" s="40"/>
      <c r="AD303" s="42"/>
      <c r="AE303" s="42"/>
      <c r="AF303" s="42"/>
      <c r="AG303" s="42"/>
    </row>
    <row r="304" spans="8:33" s="33" customFormat="1">
      <c r="H304" s="42"/>
      <c r="K304" s="42"/>
      <c r="M304" s="55"/>
      <c r="P304" s="55"/>
      <c r="W304" s="59"/>
      <c r="X304" s="59"/>
      <c r="Y304" s="59"/>
      <c r="Z304" s="59"/>
      <c r="AA304" s="105"/>
      <c r="AB304" s="40"/>
      <c r="AD304" s="42"/>
      <c r="AE304" s="42"/>
      <c r="AF304" s="42"/>
      <c r="AG304" s="42"/>
    </row>
    <row r="305" spans="8:33" s="33" customFormat="1">
      <c r="H305" s="42"/>
      <c r="K305" s="42"/>
      <c r="M305" s="55"/>
      <c r="P305" s="55"/>
      <c r="W305" s="59"/>
      <c r="X305" s="59"/>
      <c r="Y305" s="59"/>
      <c r="Z305" s="59"/>
      <c r="AA305" s="105"/>
      <c r="AB305" s="40"/>
      <c r="AD305" s="42"/>
      <c r="AE305" s="42"/>
      <c r="AF305" s="42"/>
      <c r="AG305" s="42"/>
    </row>
    <row r="306" spans="8:33" s="33" customFormat="1">
      <c r="H306" s="42"/>
      <c r="K306" s="42"/>
      <c r="M306" s="55"/>
      <c r="P306" s="55"/>
      <c r="W306" s="59"/>
      <c r="X306" s="59"/>
      <c r="Y306" s="59"/>
      <c r="Z306" s="59"/>
      <c r="AA306" s="105"/>
      <c r="AB306" s="40"/>
      <c r="AD306" s="42"/>
      <c r="AE306" s="42"/>
      <c r="AF306" s="42"/>
      <c r="AG306" s="42"/>
    </row>
    <row r="307" spans="8:33" s="33" customFormat="1">
      <c r="H307" s="42"/>
      <c r="K307" s="42"/>
      <c r="M307" s="55"/>
      <c r="P307" s="55"/>
      <c r="W307" s="59"/>
      <c r="X307" s="59"/>
      <c r="Y307" s="59"/>
      <c r="Z307" s="59"/>
      <c r="AA307" s="105"/>
      <c r="AB307" s="40"/>
      <c r="AD307" s="42"/>
      <c r="AE307" s="42"/>
      <c r="AF307" s="42"/>
      <c r="AG307" s="42"/>
    </row>
    <row r="308" spans="8:33" s="33" customFormat="1">
      <c r="H308" s="42"/>
      <c r="K308" s="42"/>
      <c r="M308" s="55"/>
      <c r="P308" s="55"/>
      <c r="W308" s="59"/>
      <c r="X308" s="59"/>
      <c r="Y308" s="59"/>
      <c r="Z308" s="59"/>
      <c r="AA308" s="105"/>
      <c r="AB308" s="40"/>
      <c r="AD308" s="42"/>
      <c r="AE308" s="42"/>
      <c r="AF308" s="42"/>
      <c r="AG308" s="42"/>
    </row>
    <row r="309" spans="8:33" s="33" customFormat="1">
      <c r="H309" s="42"/>
      <c r="K309" s="42"/>
      <c r="M309" s="55"/>
      <c r="P309" s="55"/>
      <c r="W309" s="59"/>
      <c r="X309" s="59"/>
      <c r="Y309" s="59"/>
      <c r="Z309" s="59"/>
      <c r="AA309" s="105"/>
      <c r="AB309" s="40"/>
      <c r="AD309" s="42"/>
      <c r="AE309" s="42"/>
      <c r="AF309" s="42"/>
      <c r="AG309" s="42"/>
    </row>
    <row r="310" spans="8:33" s="33" customFormat="1">
      <c r="H310" s="42"/>
      <c r="K310" s="42"/>
      <c r="M310" s="55"/>
      <c r="P310" s="55"/>
      <c r="W310" s="59"/>
      <c r="X310" s="59"/>
      <c r="Y310" s="59"/>
      <c r="Z310" s="59"/>
      <c r="AA310" s="105"/>
      <c r="AB310" s="40"/>
      <c r="AD310" s="42"/>
      <c r="AE310" s="42"/>
      <c r="AF310" s="42"/>
      <c r="AG310" s="42"/>
    </row>
    <row r="311" spans="8:33" s="33" customFormat="1">
      <c r="H311" s="42"/>
      <c r="K311" s="42"/>
      <c r="M311" s="55"/>
      <c r="P311" s="55"/>
      <c r="W311" s="59"/>
      <c r="X311" s="59"/>
      <c r="Y311" s="59"/>
      <c r="Z311" s="59"/>
      <c r="AA311" s="105"/>
      <c r="AB311" s="40"/>
      <c r="AD311" s="42"/>
      <c r="AE311" s="42"/>
      <c r="AF311" s="42"/>
      <c r="AG311" s="42"/>
    </row>
    <row r="312" spans="8:33" s="33" customFormat="1">
      <c r="H312" s="42"/>
      <c r="K312" s="42"/>
      <c r="M312" s="55"/>
      <c r="P312" s="55"/>
      <c r="W312" s="59"/>
      <c r="X312" s="59"/>
      <c r="Y312" s="59"/>
      <c r="Z312" s="59"/>
      <c r="AA312" s="105"/>
      <c r="AB312" s="40"/>
      <c r="AD312" s="42"/>
      <c r="AE312" s="42"/>
      <c r="AF312" s="42"/>
      <c r="AG312" s="42"/>
    </row>
    <row r="313" spans="8:33" s="33" customFormat="1">
      <c r="H313" s="42"/>
      <c r="K313" s="42"/>
      <c r="M313" s="55"/>
      <c r="P313" s="55"/>
      <c r="W313" s="59"/>
      <c r="X313" s="59"/>
      <c r="Y313" s="59"/>
      <c r="Z313" s="59"/>
      <c r="AA313" s="105"/>
      <c r="AB313" s="40"/>
      <c r="AD313" s="42"/>
      <c r="AE313" s="42"/>
      <c r="AF313" s="42"/>
      <c r="AG313" s="42"/>
    </row>
    <row r="314" spans="8:33" s="33" customFormat="1">
      <c r="H314" s="42"/>
      <c r="K314" s="42"/>
      <c r="M314" s="55"/>
      <c r="P314" s="55"/>
      <c r="W314" s="59"/>
      <c r="X314" s="59"/>
      <c r="Y314" s="59"/>
      <c r="Z314" s="59"/>
      <c r="AA314" s="105"/>
      <c r="AB314" s="40"/>
      <c r="AD314" s="42"/>
      <c r="AE314" s="42"/>
      <c r="AF314" s="42"/>
      <c r="AG314" s="42"/>
    </row>
    <row r="315" spans="8:33" s="33" customFormat="1">
      <c r="H315" s="42"/>
      <c r="K315" s="42"/>
      <c r="M315" s="55"/>
      <c r="P315" s="55"/>
      <c r="W315" s="59"/>
      <c r="X315" s="59"/>
      <c r="Y315" s="59"/>
      <c r="Z315" s="59"/>
      <c r="AA315" s="105"/>
      <c r="AB315" s="40"/>
      <c r="AD315" s="42"/>
      <c r="AE315" s="42"/>
      <c r="AF315" s="42"/>
      <c r="AG315" s="42"/>
    </row>
    <row r="316" spans="8:33" s="33" customFormat="1">
      <c r="H316" s="42"/>
      <c r="K316" s="42"/>
      <c r="M316" s="55"/>
      <c r="P316" s="55"/>
      <c r="W316" s="59"/>
      <c r="X316" s="59"/>
      <c r="Y316" s="59"/>
      <c r="Z316" s="59"/>
      <c r="AA316" s="105"/>
      <c r="AB316" s="40"/>
      <c r="AD316" s="42"/>
      <c r="AE316" s="42"/>
      <c r="AF316" s="42"/>
      <c r="AG316" s="42"/>
    </row>
    <row r="317" spans="8:33" s="33" customFormat="1">
      <c r="H317" s="42"/>
      <c r="K317" s="42"/>
      <c r="M317" s="55"/>
      <c r="P317" s="55"/>
      <c r="W317" s="59"/>
      <c r="X317" s="59"/>
      <c r="Y317" s="59"/>
      <c r="Z317" s="59"/>
      <c r="AA317" s="105"/>
      <c r="AB317" s="40"/>
      <c r="AD317" s="42"/>
      <c r="AE317" s="42"/>
      <c r="AF317" s="42"/>
      <c r="AG317" s="42"/>
    </row>
    <row r="318" spans="8:33" s="33" customFormat="1">
      <c r="H318" s="42"/>
      <c r="K318" s="42"/>
      <c r="M318" s="55"/>
      <c r="P318" s="55"/>
      <c r="W318" s="59"/>
      <c r="X318" s="59"/>
      <c r="Y318" s="59"/>
      <c r="Z318" s="59"/>
      <c r="AA318" s="105"/>
      <c r="AB318" s="40"/>
      <c r="AD318" s="42"/>
      <c r="AE318" s="42"/>
      <c r="AF318" s="42"/>
      <c r="AG318" s="42"/>
    </row>
    <row r="319" spans="8:33" s="33" customFormat="1">
      <c r="H319" s="42"/>
      <c r="K319" s="42"/>
      <c r="M319" s="55"/>
      <c r="P319" s="55"/>
      <c r="W319" s="59"/>
      <c r="X319" s="59"/>
      <c r="Y319" s="59"/>
      <c r="Z319" s="59"/>
      <c r="AA319" s="105"/>
      <c r="AB319" s="40"/>
      <c r="AD319" s="42"/>
      <c r="AE319" s="42"/>
      <c r="AF319" s="42"/>
      <c r="AG319" s="42"/>
    </row>
    <row r="320" spans="8:33" s="33" customFormat="1">
      <c r="H320" s="42"/>
      <c r="K320" s="42"/>
      <c r="M320" s="55"/>
      <c r="P320" s="55"/>
      <c r="W320" s="59"/>
      <c r="X320" s="59"/>
      <c r="Y320" s="59"/>
      <c r="Z320" s="59"/>
      <c r="AA320" s="105"/>
      <c r="AB320" s="40"/>
      <c r="AD320" s="42"/>
      <c r="AE320" s="42"/>
      <c r="AF320" s="42"/>
      <c r="AG320" s="42"/>
    </row>
    <row r="321" spans="8:33" s="33" customFormat="1">
      <c r="H321" s="42"/>
      <c r="K321" s="42"/>
      <c r="M321" s="55"/>
      <c r="P321" s="55"/>
      <c r="W321" s="59"/>
      <c r="X321" s="59"/>
      <c r="Y321" s="59"/>
      <c r="Z321" s="59"/>
      <c r="AA321" s="105"/>
      <c r="AB321" s="40"/>
      <c r="AD321" s="42"/>
      <c r="AE321" s="42"/>
      <c r="AF321" s="42"/>
      <c r="AG321" s="42"/>
    </row>
    <row r="322" spans="8:33" s="33" customFormat="1">
      <c r="H322" s="42"/>
      <c r="K322" s="42"/>
      <c r="M322" s="55"/>
      <c r="P322" s="55"/>
      <c r="W322" s="59"/>
      <c r="X322" s="59"/>
      <c r="Y322" s="59"/>
      <c r="Z322" s="59"/>
      <c r="AA322" s="105"/>
      <c r="AB322" s="40"/>
      <c r="AD322" s="42"/>
      <c r="AE322" s="42"/>
      <c r="AF322" s="42"/>
      <c r="AG322" s="42"/>
    </row>
    <row r="323" spans="8:33" s="33" customFormat="1">
      <c r="H323" s="42"/>
      <c r="K323" s="42"/>
      <c r="M323" s="55"/>
      <c r="P323" s="55"/>
      <c r="W323" s="59"/>
      <c r="X323" s="59"/>
      <c r="Y323" s="59"/>
      <c r="Z323" s="59"/>
      <c r="AA323" s="105"/>
      <c r="AB323" s="40"/>
      <c r="AD323" s="42"/>
      <c r="AE323" s="42"/>
      <c r="AF323" s="42"/>
      <c r="AG323" s="42"/>
    </row>
    <row r="324" spans="8:33" s="33" customFormat="1">
      <c r="H324" s="42"/>
      <c r="K324" s="42"/>
      <c r="M324" s="55"/>
      <c r="P324" s="55"/>
      <c r="W324" s="59"/>
      <c r="X324" s="59"/>
      <c r="Y324" s="59"/>
      <c r="Z324" s="59"/>
      <c r="AA324" s="105"/>
      <c r="AB324" s="40"/>
      <c r="AD324" s="42"/>
      <c r="AE324" s="42"/>
      <c r="AF324" s="42"/>
      <c r="AG324" s="42"/>
    </row>
    <row r="325" spans="8:33" s="33" customFormat="1">
      <c r="H325" s="42"/>
      <c r="K325" s="42"/>
      <c r="M325" s="55"/>
      <c r="P325" s="55"/>
      <c r="W325" s="59"/>
      <c r="X325" s="59"/>
      <c r="Y325" s="59"/>
      <c r="Z325" s="59"/>
      <c r="AA325" s="105"/>
      <c r="AB325" s="40"/>
      <c r="AD325" s="42"/>
      <c r="AE325" s="42"/>
      <c r="AF325" s="42"/>
      <c r="AG325" s="42"/>
    </row>
    <row r="326" spans="8:33" s="33" customFormat="1">
      <c r="H326" s="42"/>
      <c r="K326" s="42"/>
      <c r="M326" s="55"/>
      <c r="P326" s="55"/>
      <c r="W326" s="59"/>
      <c r="X326" s="59"/>
      <c r="Y326" s="59"/>
      <c r="Z326" s="59"/>
      <c r="AA326" s="105"/>
      <c r="AB326" s="40"/>
      <c r="AD326" s="42"/>
      <c r="AE326" s="42"/>
      <c r="AF326" s="42"/>
      <c r="AG326" s="42"/>
    </row>
    <row r="327" spans="8:33" s="33" customFormat="1">
      <c r="H327" s="42"/>
      <c r="K327" s="42"/>
      <c r="M327" s="55"/>
      <c r="P327" s="55"/>
      <c r="W327" s="59"/>
      <c r="X327" s="59"/>
      <c r="Y327" s="59"/>
      <c r="Z327" s="59"/>
      <c r="AA327" s="105"/>
      <c r="AB327" s="40"/>
      <c r="AD327" s="42"/>
      <c r="AE327" s="42"/>
      <c r="AF327" s="42"/>
      <c r="AG327" s="42"/>
    </row>
    <row r="328" spans="8:33" s="33" customFormat="1">
      <c r="H328" s="42"/>
      <c r="K328" s="42"/>
      <c r="M328" s="55"/>
      <c r="P328" s="55"/>
      <c r="W328" s="59"/>
      <c r="X328" s="59"/>
      <c r="Y328" s="59"/>
      <c r="Z328" s="59"/>
      <c r="AA328" s="105"/>
      <c r="AB328" s="40"/>
      <c r="AD328" s="42"/>
      <c r="AE328" s="42"/>
      <c r="AF328" s="42"/>
      <c r="AG328" s="42"/>
    </row>
    <row r="329" spans="8:33" s="33" customFormat="1">
      <c r="H329" s="42"/>
      <c r="K329" s="42"/>
      <c r="M329" s="55"/>
      <c r="P329" s="55"/>
      <c r="W329" s="59"/>
      <c r="X329" s="59"/>
      <c r="Y329" s="59"/>
      <c r="Z329" s="59"/>
      <c r="AA329" s="105"/>
      <c r="AB329" s="40"/>
      <c r="AD329" s="42"/>
      <c r="AE329" s="42"/>
      <c r="AF329" s="42"/>
      <c r="AG329" s="42"/>
    </row>
    <row r="330" spans="8:33" s="33" customFormat="1">
      <c r="H330" s="42"/>
      <c r="K330" s="42"/>
      <c r="M330" s="55"/>
      <c r="P330" s="55"/>
      <c r="W330" s="59"/>
      <c r="X330" s="59"/>
      <c r="Y330" s="59"/>
      <c r="Z330" s="59"/>
      <c r="AA330" s="105"/>
      <c r="AB330" s="40"/>
      <c r="AD330" s="42"/>
      <c r="AE330" s="42"/>
      <c r="AF330" s="42"/>
      <c r="AG330" s="42"/>
    </row>
    <row r="331" spans="8:33" s="33" customFormat="1">
      <c r="H331" s="42"/>
      <c r="K331" s="42"/>
      <c r="M331" s="55"/>
      <c r="P331" s="55"/>
      <c r="W331" s="59"/>
      <c r="X331" s="59"/>
      <c r="Y331" s="59"/>
      <c r="Z331" s="59"/>
      <c r="AA331" s="105"/>
      <c r="AB331" s="40"/>
      <c r="AD331" s="42"/>
      <c r="AE331" s="42"/>
      <c r="AF331" s="42"/>
      <c r="AG331" s="42"/>
    </row>
    <row r="332" spans="8:33" s="33" customFormat="1">
      <c r="H332" s="42"/>
      <c r="K332" s="42"/>
      <c r="M332" s="55"/>
      <c r="P332" s="55"/>
      <c r="W332" s="59"/>
      <c r="X332" s="59"/>
      <c r="Y332" s="59"/>
      <c r="Z332" s="59"/>
      <c r="AA332" s="105"/>
      <c r="AB332" s="40"/>
      <c r="AD332" s="42"/>
      <c r="AE332" s="42"/>
      <c r="AF332" s="42"/>
      <c r="AG332" s="42"/>
    </row>
    <row r="333" spans="8:33" s="33" customFormat="1">
      <c r="H333" s="42"/>
      <c r="K333" s="42"/>
      <c r="M333" s="55"/>
      <c r="P333" s="55"/>
      <c r="W333" s="59"/>
      <c r="X333" s="59"/>
      <c r="Y333" s="59"/>
      <c r="Z333" s="59"/>
      <c r="AA333" s="105"/>
      <c r="AB333" s="40"/>
      <c r="AD333" s="42"/>
      <c r="AE333" s="42"/>
      <c r="AF333" s="42"/>
      <c r="AG333" s="42"/>
    </row>
    <row r="334" spans="8:33" s="33" customFormat="1">
      <c r="H334" s="42"/>
      <c r="K334" s="42"/>
      <c r="M334" s="55"/>
      <c r="P334" s="55"/>
      <c r="W334" s="59"/>
      <c r="X334" s="59"/>
      <c r="Y334" s="59"/>
      <c r="Z334" s="59"/>
      <c r="AA334" s="105"/>
      <c r="AB334" s="40"/>
      <c r="AD334" s="42"/>
      <c r="AE334" s="42"/>
      <c r="AF334" s="42"/>
      <c r="AG334" s="42"/>
    </row>
    <row r="335" spans="8:33" s="33" customFormat="1">
      <c r="H335" s="42"/>
      <c r="K335" s="42"/>
      <c r="M335" s="55"/>
      <c r="P335" s="55"/>
      <c r="W335" s="59"/>
      <c r="X335" s="59"/>
      <c r="Y335" s="59"/>
      <c r="Z335" s="59"/>
      <c r="AA335" s="105"/>
      <c r="AB335" s="40"/>
      <c r="AD335" s="42"/>
      <c r="AE335" s="42"/>
      <c r="AF335" s="42"/>
      <c r="AG335" s="42"/>
    </row>
    <row r="336" spans="8:33" s="33" customFormat="1">
      <c r="H336" s="42"/>
      <c r="K336" s="42"/>
      <c r="M336" s="55"/>
      <c r="P336" s="55"/>
      <c r="W336" s="59"/>
      <c r="X336" s="59"/>
      <c r="Y336" s="59"/>
      <c r="Z336" s="59"/>
      <c r="AA336" s="105"/>
      <c r="AB336" s="40"/>
      <c r="AD336" s="42"/>
      <c r="AE336" s="42"/>
      <c r="AF336" s="42"/>
      <c r="AG336" s="42"/>
    </row>
    <row r="337" spans="8:33" s="33" customFormat="1">
      <c r="H337" s="42"/>
      <c r="K337" s="42"/>
      <c r="M337" s="55"/>
      <c r="P337" s="55"/>
      <c r="W337" s="59"/>
      <c r="X337" s="59"/>
      <c r="Y337" s="59"/>
      <c r="Z337" s="59"/>
      <c r="AA337" s="105"/>
      <c r="AB337" s="40"/>
      <c r="AD337" s="42"/>
      <c r="AE337" s="42"/>
      <c r="AF337" s="42"/>
      <c r="AG337" s="42"/>
    </row>
    <row r="338" spans="8:33" s="33" customFormat="1">
      <c r="H338" s="42"/>
      <c r="K338" s="42"/>
      <c r="M338" s="55"/>
      <c r="P338" s="55"/>
      <c r="W338" s="59"/>
      <c r="X338" s="59"/>
      <c r="Y338" s="59"/>
      <c r="Z338" s="59"/>
      <c r="AA338" s="105"/>
      <c r="AB338" s="40"/>
      <c r="AD338" s="42"/>
      <c r="AE338" s="42"/>
      <c r="AF338" s="42"/>
      <c r="AG338" s="42"/>
    </row>
    <row r="339" spans="8:33" s="33" customFormat="1">
      <c r="H339" s="42"/>
      <c r="K339" s="42"/>
      <c r="M339" s="55"/>
      <c r="P339" s="55"/>
      <c r="W339" s="59"/>
      <c r="X339" s="59"/>
      <c r="Y339" s="59"/>
      <c r="Z339" s="59"/>
      <c r="AA339" s="105"/>
      <c r="AB339" s="40"/>
      <c r="AD339" s="42"/>
      <c r="AE339" s="42"/>
      <c r="AF339" s="42"/>
      <c r="AG339" s="42"/>
    </row>
    <row r="340" spans="8:33" s="33" customFormat="1">
      <c r="H340" s="42"/>
      <c r="K340" s="42"/>
      <c r="M340" s="55"/>
      <c r="P340" s="55"/>
      <c r="W340" s="59"/>
      <c r="X340" s="59"/>
      <c r="Y340" s="59"/>
      <c r="Z340" s="59"/>
      <c r="AA340" s="105"/>
      <c r="AB340" s="40"/>
      <c r="AD340" s="42"/>
      <c r="AE340" s="42"/>
      <c r="AF340" s="42"/>
      <c r="AG340" s="42"/>
    </row>
    <row r="341" spans="8:33" s="33" customFormat="1">
      <c r="H341" s="42"/>
      <c r="K341" s="42"/>
      <c r="M341" s="55"/>
      <c r="P341" s="55"/>
      <c r="W341" s="59"/>
      <c r="X341" s="59"/>
      <c r="Y341" s="59"/>
      <c r="Z341" s="59"/>
      <c r="AA341" s="105"/>
      <c r="AB341" s="40"/>
      <c r="AD341" s="42"/>
      <c r="AE341" s="42"/>
      <c r="AF341" s="42"/>
      <c r="AG341" s="42"/>
    </row>
    <row r="342" spans="8:33" s="33" customFormat="1">
      <c r="H342" s="42"/>
      <c r="K342" s="42"/>
      <c r="M342" s="55"/>
      <c r="P342" s="55"/>
      <c r="W342" s="59"/>
      <c r="X342" s="59"/>
      <c r="Y342" s="59"/>
      <c r="Z342" s="59"/>
      <c r="AA342" s="105"/>
      <c r="AB342" s="40"/>
      <c r="AD342" s="42"/>
      <c r="AE342" s="42"/>
      <c r="AF342" s="42"/>
      <c r="AG342" s="42"/>
    </row>
    <row r="343" spans="8:33" s="33" customFormat="1">
      <c r="H343" s="42"/>
      <c r="K343" s="42"/>
      <c r="M343" s="55"/>
      <c r="P343" s="55"/>
      <c r="W343" s="59"/>
      <c r="X343" s="59"/>
      <c r="Y343" s="59"/>
      <c r="Z343" s="59"/>
      <c r="AA343" s="105"/>
      <c r="AB343" s="40"/>
      <c r="AD343" s="42"/>
      <c r="AE343" s="42"/>
      <c r="AF343" s="42"/>
      <c r="AG343" s="42"/>
    </row>
    <row r="344" spans="8:33" s="33" customFormat="1">
      <c r="H344" s="42"/>
      <c r="K344" s="42"/>
      <c r="M344" s="55"/>
      <c r="P344" s="55"/>
      <c r="W344" s="59"/>
      <c r="X344" s="59"/>
      <c r="Y344" s="59"/>
      <c r="Z344" s="59"/>
      <c r="AA344" s="105"/>
      <c r="AB344" s="40"/>
      <c r="AD344" s="42"/>
      <c r="AE344" s="42"/>
      <c r="AF344" s="42"/>
      <c r="AG344" s="42"/>
    </row>
    <row r="345" spans="8:33" s="33" customFormat="1">
      <c r="H345" s="42"/>
      <c r="K345" s="42"/>
      <c r="M345" s="55"/>
      <c r="P345" s="55"/>
      <c r="W345" s="59"/>
      <c r="X345" s="59"/>
      <c r="Y345" s="59"/>
      <c r="Z345" s="59"/>
      <c r="AA345" s="105"/>
      <c r="AB345" s="40"/>
      <c r="AD345" s="42"/>
      <c r="AE345" s="42"/>
      <c r="AF345" s="42"/>
      <c r="AG345" s="42"/>
    </row>
    <row r="346" spans="8:33" s="33" customFormat="1">
      <c r="H346" s="42"/>
      <c r="K346" s="42"/>
      <c r="M346" s="55"/>
      <c r="P346" s="55"/>
      <c r="W346" s="59"/>
      <c r="X346" s="59"/>
      <c r="Y346" s="59"/>
      <c r="Z346" s="59"/>
      <c r="AA346" s="105"/>
      <c r="AB346" s="40"/>
      <c r="AD346" s="42"/>
      <c r="AE346" s="42"/>
      <c r="AF346" s="42"/>
      <c r="AG346" s="42"/>
    </row>
    <row r="347" spans="8:33" s="33" customFormat="1">
      <c r="H347" s="42"/>
      <c r="K347" s="42"/>
      <c r="M347" s="55"/>
      <c r="P347" s="55"/>
      <c r="W347" s="59"/>
      <c r="X347" s="59"/>
      <c r="Y347" s="59"/>
      <c r="Z347" s="59"/>
      <c r="AA347" s="105"/>
      <c r="AB347" s="40"/>
      <c r="AD347" s="42"/>
      <c r="AE347" s="42"/>
      <c r="AF347" s="42"/>
      <c r="AG347" s="42"/>
    </row>
    <row r="348" spans="8:33" s="33" customFormat="1">
      <c r="H348" s="42"/>
      <c r="K348" s="42"/>
      <c r="M348" s="55"/>
      <c r="P348" s="55"/>
      <c r="W348" s="59"/>
      <c r="X348" s="59"/>
      <c r="Y348" s="59"/>
      <c r="Z348" s="59"/>
      <c r="AA348" s="105"/>
      <c r="AB348" s="40"/>
      <c r="AD348" s="42"/>
      <c r="AE348" s="42"/>
      <c r="AF348" s="42"/>
      <c r="AG348" s="42"/>
    </row>
    <row r="349" spans="8:33" s="33" customFormat="1">
      <c r="H349" s="42"/>
      <c r="K349" s="42"/>
      <c r="M349" s="55"/>
      <c r="P349" s="55"/>
      <c r="W349" s="59"/>
      <c r="X349" s="59"/>
      <c r="Y349" s="59"/>
      <c r="Z349" s="59"/>
      <c r="AA349" s="105"/>
      <c r="AB349" s="40"/>
      <c r="AD349" s="42"/>
      <c r="AE349" s="42"/>
      <c r="AF349" s="42"/>
      <c r="AG349" s="42"/>
    </row>
    <row r="350" spans="8:33" s="33" customFormat="1">
      <c r="H350" s="42"/>
      <c r="K350" s="42"/>
      <c r="M350" s="55"/>
      <c r="P350" s="55"/>
      <c r="W350" s="59"/>
      <c r="X350" s="59"/>
      <c r="Y350" s="59"/>
      <c r="Z350" s="59"/>
      <c r="AA350" s="105"/>
      <c r="AB350" s="40"/>
      <c r="AD350" s="42"/>
      <c r="AE350" s="42"/>
      <c r="AF350" s="42"/>
      <c r="AG350" s="42"/>
    </row>
    <row r="351" spans="8:33" s="33" customFormat="1">
      <c r="H351" s="42"/>
      <c r="K351" s="42"/>
      <c r="M351" s="55"/>
      <c r="P351" s="55"/>
      <c r="W351" s="59"/>
      <c r="X351" s="59"/>
      <c r="Y351" s="59"/>
      <c r="Z351" s="59"/>
      <c r="AA351" s="105"/>
      <c r="AB351" s="40"/>
      <c r="AD351" s="42"/>
      <c r="AE351" s="42"/>
      <c r="AF351" s="42"/>
      <c r="AG351" s="42"/>
    </row>
    <row r="352" spans="8:33" s="33" customFormat="1">
      <c r="H352" s="42"/>
      <c r="K352" s="42"/>
      <c r="M352" s="55"/>
      <c r="P352" s="55"/>
      <c r="W352" s="59"/>
      <c r="X352" s="59"/>
      <c r="Y352" s="59"/>
      <c r="Z352" s="59"/>
      <c r="AA352" s="105"/>
      <c r="AB352" s="40"/>
      <c r="AD352" s="42"/>
      <c r="AE352" s="42"/>
      <c r="AF352" s="42"/>
      <c r="AG352" s="42"/>
    </row>
    <row r="353" spans="2:33" s="33" customFormat="1">
      <c r="H353" s="42"/>
      <c r="K353" s="42"/>
      <c r="M353" s="55"/>
      <c r="P353" s="55"/>
      <c r="W353" s="59"/>
      <c r="X353" s="59"/>
      <c r="Y353" s="59"/>
      <c r="Z353" s="59"/>
      <c r="AA353" s="105"/>
      <c r="AB353" s="40"/>
      <c r="AD353" s="42"/>
      <c r="AE353" s="42"/>
      <c r="AF353" s="42"/>
      <c r="AG353" s="42"/>
    </row>
    <row r="354" spans="2:33" s="33" customFormat="1">
      <c r="H354" s="42"/>
      <c r="K354" s="42"/>
      <c r="M354" s="55"/>
      <c r="P354" s="55"/>
      <c r="W354" s="59"/>
      <c r="X354" s="59"/>
      <c r="Y354" s="59"/>
      <c r="Z354" s="59"/>
      <c r="AA354" s="105"/>
      <c r="AB354" s="40"/>
      <c r="AD354" s="42"/>
      <c r="AE354" s="42"/>
      <c r="AF354" s="42"/>
      <c r="AG354" s="42"/>
    </row>
    <row r="355" spans="2:33" s="33" customFormat="1">
      <c r="H355" s="42"/>
      <c r="K355" s="42"/>
      <c r="M355" s="55"/>
      <c r="P355" s="55"/>
      <c r="W355" s="59"/>
      <c r="X355" s="59"/>
      <c r="Y355" s="59"/>
      <c r="Z355" s="59"/>
      <c r="AA355" s="105"/>
      <c r="AB355" s="40"/>
      <c r="AD355" s="42"/>
      <c r="AE355" s="42"/>
      <c r="AF355" s="42"/>
      <c r="AG355" s="42"/>
    </row>
    <row r="356" spans="2:33" s="33" customFormat="1">
      <c r="H356" s="42"/>
      <c r="K356" s="42"/>
      <c r="M356" s="55"/>
      <c r="P356" s="55"/>
      <c r="W356" s="59"/>
      <c r="X356" s="59"/>
      <c r="Y356" s="59"/>
      <c r="Z356" s="59"/>
      <c r="AA356" s="105"/>
      <c r="AB356" s="40"/>
      <c r="AD356" s="42"/>
      <c r="AE356" s="42"/>
      <c r="AF356" s="42"/>
      <c r="AG356" s="42"/>
    </row>
    <row r="357" spans="2:33" s="33" customFormat="1">
      <c r="H357" s="42"/>
      <c r="K357" s="42"/>
      <c r="M357" s="55"/>
      <c r="P357" s="55"/>
      <c r="W357" s="59"/>
      <c r="X357" s="59"/>
      <c r="Y357" s="59"/>
      <c r="Z357" s="59"/>
      <c r="AA357" s="105"/>
      <c r="AB357" s="40"/>
      <c r="AD357" s="42"/>
      <c r="AE357" s="42"/>
      <c r="AF357" s="42"/>
      <c r="AG357" s="42"/>
    </row>
    <row r="358" spans="2:33" s="33" customFormat="1">
      <c r="H358" s="42"/>
      <c r="K358" s="42"/>
      <c r="M358" s="55"/>
      <c r="P358" s="55"/>
      <c r="W358" s="59"/>
      <c r="X358" s="59"/>
      <c r="Y358" s="59"/>
      <c r="Z358" s="59"/>
      <c r="AA358" s="105"/>
      <c r="AB358" s="40"/>
      <c r="AD358" s="42"/>
      <c r="AE358" s="42"/>
      <c r="AF358" s="42"/>
      <c r="AG358" s="42"/>
    </row>
    <row r="359" spans="2:33" s="33" customFormat="1">
      <c r="H359" s="42"/>
      <c r="K359" s="42"/>
      <c r="M359" s="55"/>
      <c r="P359" s="55"/>
      <c r="W359" s="59"/>
      <c r="X359" s="59"/>
      <c r="Y359" s="59"/>
      <c r="Z359" s="59"/>
      <c r="AA359" s="105"/>
      <c r="AB359" s="40"/>
      <c r="AD359" s="42"/>
      <c r="AE359" s="42"/>
      <c r="AF359" s="42"/>
      <c r="AG359" s="42"/>
    </row>
    <row r="360" spans="2:33" s="33" customFormat="1">
      <c r="H360" s="42"/>
      <c r="K360" s="42"/>
      <c r="M360" s="55"/>
      <c r="P360" s="55"/>
      <c r="W360" s="59"/>
      <c r="X360" s="59"/>
      <c r="Y360" s="59"/>
      <c r="Z360" s="59"/>
      <c r="AA360" s="105"/>
      <c r="AB360" s="40"/>
      <c r="AD360" s="42"/>
      <c r="AE360" s="42"/>
      <c r="AF360" s="42"/>
      <c r="AG360" s="42"/>
    </row>
    <row r="361" spans="2:33" s="33" customFormat="1">
      <c r="H361" s="42"/>
      <c r="K361" s="42"/>
      <c r="M361" s="55"/>
      <c r="P361" s="55"/>
      <c r="W361" s="59"/>
      <c r="X361" s="59"/>
      <c r="Y361" s="59"/>
      <c r="Z361" s="59"/>
      <c r="AA361" s="105"/>
      <c r="AB361" s="40"/>
      <c r="AD361" s="42"/>
      <c r="AE361" s="42"/>
      <c r="AF361" s="42"/>
      <c r="AG361" s="42"/>
    </row>
    <row r="362" spans="2:33">
      <c r="B362" s="33"/>
      <c r="C362" s="33"/>
      <c r="D362" s="33"/>
      <c r="E362" s="33"/>
      <c r="F362" s="33"/>
      <c r="G362" s="33"/>
      <c r="H362" s="42"/>
      <c r="I362" s="33"/>
      <c r="J362" s="33"/>
      <c r="K362" s="42"/>
      <c r="L362" s="33"/>
      <c r="M362" s="55"/>
      <c r="N362" s="33"/>
      <c r="O362" s="33"/>
      <c r="P362" s="55"/>
    </row>
    <row r="363" spans="2:33">
      <c r="B363" s="33"/>
      <c r="C363" s="33"/>
      <c r="D363" s="33"/>
      <c r="E363" s="33"/>
      <c r="F363" s="33"/>
      <c r="G363" s="33"/>
      <c r="H363" s="42"/>
      <c r="I363" s="33"/>
      <c r="J363" s="33"/>
      <c r="K363" s="42"/>
      <c r="L363" s="33"/>
      <c r="M363" s="55"/>
      <c r="N363" s="33"/>
      <c r="O363" s="33"/>
      <c r="P363" s="55"/>
    </row>
    <row r="364" spans="2:33">
      <c r="B364" s="33"/>
      <c r="C364" s="33"/>
      <c r="D364" s="33"/>
      <c r="E364" s="33"/>
      <c r="F364" s="33"/>
      <c r="G364" s="33"/>
      <c r="H364" s="42"/>
      <c r="I364" s="33"/>
      <c r="J364" s="33"/>
      <c r="K364" s="42"/>
      <c r="L364" s="33"/>
      <c r="M364" s="55"/>
      <c r="N364" s="33"/>
      <c r="O364" s="33"/>
      <c r="P364" s="55"/>
    </row>
    <row r="365" spans="2:33">
      <c r="B365" s="33"/>
      <c r="C365" s="33"/>
      <c r="D365" s="33"/>
      <c r="E365" s="33"/>
      <c r="F365" s="33"/>
      <c r="G365" s="33"/>
      <c r="H365" s="42"/>
      <c r="I365" s="33"/>
      <c r="J365" s="33"/>
      <c r="K365" s="42"/>
      <c r="L365" s="33"/>
      <c r="M365" s="55"/>
      <c r="N365" s="33"/>
      <c r="O365" s="33"/>
      <c r="P365" s="55"/>
    </row>
    <row r="366" spans="2:33">
      <c r="B366" s="33"/>
      <c r="C366" s="33"/>
      <c r="D366" s="33"/>
      <c r="E366" s="33"/>
      <c r="F366" s="33"/>
      <c r="G366" s="33"/>
      <c r="H366" s="42"/>
      <c r="I366" s="33"/>
      <c r="J366" s="33"/>
      <c r="K366" s="42"/>
      <c r="L366" s="33"/>
      <c r="M366" s="55"/>
      <c r="N366" s="33"/>
      <c r="O366" s="33"/>
      <c r="P366" s="55"/>
    </row>
    <row r="367" spans="2:33">
      <c r="B367" s="33"/>
      <c r="C367" s="33"/>
      <c r="D367" s="33"/>
      <c r="E367" s="33"/>
      <c r="F367" s="33"/>
      <c r="G367" s="33"/>
      <c r="H367" s="42"/>
      <c r="I367" s="33"/>
      <c r="J367" s="33"/>
      <c r="K367" s="42"/>
      <c r="L367" s="33"/>
      <c r="M367" s="55"/>
      <c r="N367" s="33"/>
      <c r="O367" s="33"/>
      <c r="P367" s="55"/>
    </row>
    <row r="368" spans="2:33">
      <c r="B368" s="33"/>
      <c r="C368" s="33"/>
      <c r="D368" s="33"/>
      <c r="E368" s="33"/>
      <c r="F368" s="33"/>
      <c r="G368" s="33"/>
      <c r="H368" s="42"/>
      <c r="I368" s="33"/>
      <c r="J368" s="33"/>
      <c r="K368" s="42"/>
      <c r="L368" s="33"/>
      <c r="M368" s="55"/>
      <c r="N368" s="33"/>
      <c r="O368" s="33"/>
      <c r="P368" s="55"/>
    </row>
    <row r="369" spans="2:16">
      <c r="B369" s="33"/>
      <c r="C369" s="33"/>
      <c r="D369" s="33"/>
      <c r="E369" s="33"/>
      <c r="F369" s="33"/>
      <c r="G369" s="33"/>
      <c r="H369" s="42"/>
      <c r="I369" s="33"/>
      <c r="J369" s="33"/>
      <c r="K369" s="42"/>
      <c r="L369" s="33"/>
      <c r="M369" s="55"/>
      <c r="N369" s="33"/>
      <c r="O369" s="33"/>
      <c r="P369" s="55"/>
    </row>
    <row r="370" spans="2:16">
      <c r="B370" s="33"/>
      <c r="C370" s="33"/>
      <c r="D370" s="33"/>
      <c r="E370" s="33"/>
      <c r="F370" s="33"/>
      <c r="G370" s="33"/>
      <c r="H370" s="42"/>
      <c r="I370" s="33"/>
      <c r="J370" s="33"/>
      <c r="K370" s="42"/>
      <c r="L370" s="33"/>
      <c r="M370" s="55"/>
      <c r="N370" s="33"/>
      <c r="O370" s="33"/>
      <c r="P370" s="55"/>
    </row>
    <row r="371" spans="2:16">
      <c r="B371" s="33"/>
      <c r="C371" s="33"/>
      <c r="D371" s="33"/>
      <c r="E371" s="33"/>
      <c r="F371" s="33"/>
      <c r="G371" s="33"/>
      <c r="H371" s="42"/>
      <c r="I371" s="33"/>
      <c r="J371" s="33"/>
      <c r="K371" s="42"/>
      <c r="L371" s="33"/>
      <c r="M371" s="55"/>
      <c r="N371" s="33"/>
      <c r="O371" s="33"/>
      <c r="P371" s="55"/>
    </row>
    <row r="372" spans="2:16">
      <c r="B372" s="33"/>
      <c r="C372" s="33"/>
      <c r="D372" s="33"/>
      <c r="E372" s="33"/>
      <c r="F372" s="33"/>
      <c r="G372" s="33"/>
      <c r="H372" s="42"/>
      <c r="I372" s="33"/>
      <c r="J372" s="33"/>
      <c r="K372" s="42"/>
      <c r="L372" s="33"/>
      <c r="M372" s="55"/>
      <c r="N372" s="33"/>
      <c r="O372" s="33"/>
      <c r="P372" s="55"/>
    </row>
    <row r="373" spans="2:16">
      <c r="B373" s="33"/>
      <c r="C373" s="33"/>
      <c r="D373" s="33"/>
      <c r="E373" s="33"/>
      <c r="F373" s="33"/>
      <c r="G373" s="33"/>
      <c r="H373" s="42"/>
      <c r="I373" s="33"/>
      <c r="J373" s="33"/>
      <c r="K373" s="42"/>
      <c r="L373" s="33"/>
      <c r="M373" s="55"/>
      <c r="N373" s="33"/>
      <c r="O373" s="33"/>
      <c r="P373" s="55"/>
    </row>
    <row r="374" spans="2:16">
      <c r="B374" s="33"/>
      <c r="C374" s="33"/>
      <c r="D374" s="33"/>
      <c r="E374" s="33"/>
      <c r="F374" s="33"/>
      <c r="G374" s="33"/>
      <c r="H374" s="42"/>
      <c r="I374" s="33"/>
      <c r="J374" s="33"/>
      <c r="K374" s="42"/>
      <c r="L374" s="33"/>
      <c r="M374" s="55"/>
      <c r="N374" s="33"/>
      <c r="O374" s="33"/>
      <c r="P374" s="55"/>
    </row>
    <row r="375" spans="2:16">
      <c r="B375" s="33"/>
      <c r="C375" s="33"/>
      <c r="D375" s="33"/>
      <c r="E375" s="33"/>
      <c r="F375" s="33"/>
      <c r="G375" s="33"/>
      <c r="H375" s="42"/>
      <c r="I375" s="33"/>
      <c r="J375" s="33"/>
      <c r="K375" s="42"/>
      <c r="L375" s="33"/>
      <c r="M375" s="55"/>
      <c r="N375" s="33"/>
      <c r="O375" s="33"/>
      <c r="P375" s="55"/>
    </row>
    <row r="376" spans="2:16">
      <c r="B376" s="33"/>
      <c r="C376" s="33"/>
      <c r="D376" s="33"/>
      <c r="E376" s="33"/>
      <c r="F376" s="33"/>
      <c r="G376" s="33"/>
      <c r="H376" s="42"/>
      <c r="I376" s="33"/>
      <c r="J376" s="33"/>
      <c r="K376" s="42"/>
      <c r="L376" s="33"/>
      <c r="M376" s="55"/>
      <c r="N376" s="33"/>
      <c r="O376" s="33"/>
      <c r="P376" s="55"/>
    </row>
    <row r="377" spans="2:16">
      <c r="B377" s="33"/>
      <c r="C377" s="33"/>
      <c r="D377" s="33"/>
      <c r="E377" s="33"/>
      <c r="F377" s="33"/>
      <c r="G377" s="33"/>
      <c r="H377" s="42"/>
      <c r="I377" s="33"/>
      <c r="J377" s="33"/>
      <c r="K377" s="42"/>
      <c r="L377" s="33"/>
      <c r="M377" s="55"/>
      <c r="N377" s="33"/>
      <c r="O377" s="33"/>
      <c r="P377" s="55"/>
    </row>
    <row r="378" spans="2:16">
      <c r="B378" s="33"/>
      <c r="C378" s="33"/>
      <c r="D378" s="33"/>
      <c r="E378" s="33"/>
      <c r="F378" s="33"/>
      <c r="G378" s="33"/>
      <c r="H378" s="42"/>
      <c r="I378" s="33"/>
      <c r="J378" s="33"/>
      <c r="K378" s="42"/>
      <c r="L378" s="33"/>
      <c r="M378" s="55"/>
      <c r="N378" s="33"/>
      <c r="O378" s="33"/>
      <c r="P378" s="55"/>
    </row>
    <row r="379" spans="2:16">
      <c r="B379" s="33"/>
      <c r="C379" s="33"/>
      <c r="D379" s="33"/>
      <c r="E379" s="33"/>
      <c r="F379" s="33"/>
      <c r="G379" s="33"/>
      <c r="H379" s="42"/>
      <c r="I379" s="33"/>
      <c r="J379" s="33"/>
      <c r="K379" s="42"/>
      <c r="L379" s="33"/>
      <c r="M379" s="55"/>
      <c r="N379" s="33"/>
      <c r="O379" s="33"/>
      <c r="P379" s="55"/>
    </row>
    <row r="380" spans="2:16">
      <c r="B380" s="33"/>
      <c r="C380" s="33"/>
      <c r="D380" s="33"/>
      <c r="E380" s="33"/>
      <c r="F380" s="33"/>
      <c r="G380" s="33"/>
      <c r="H380" s="42"/>
      <c r="I380" s="33"/>
      <c r="J380" s="33"/>
      <c r="K380" s="42"/>
      <c r="L380" s="33"/>
      <c r="M380" s="55"/>
      <c r="N380" s="33"/>
      <c r="O380" s="33"/>
      <c r="P380" s="55"/>
    </row>
    <row r="381" spans="2:16">
      <c r="B381" s="33"/>
      <c r="C381" s="33"/>
      <c r="D381" s="33"/>
      <c r="E381" s="33"/>
      <c r="F381" s="33"/>
      <c r="G381" s="33"/>
      <c r="H381" s="42"/>
      <c r="I381" s="33"/>
      <c r="J381" s="33"/>
      <c r="K381" s="42"/>
      <c r="L381" s="33"/>
      <c r="M381" s="55"/>
      <c r="N381" s="33"/>
      <c r="O381" s="33"/>
      <c r="P381" s="55"/>
    </row>
    <row r="382" spans="2:16">
      <c r="B382" s="33"/>
      <c r="C382" s="33"/>
      <c r="D382" s="33"/>
      <c r="E382" s="33"/>
      <c r="F382" s="33"/>
      <c r="G382" s="33"/>
      <c r="H382" s="42"/>
      <c r="I382" s="33"/>
      <c r="J382" s="33"/>
      <c r="K382" s="42"/>
      <c r="L382" s="33"/>
      <c r="M382" s="55"/>
      <c r="N382" s="33"/>
      <c r="O382" s="33"/>
      <c r="P382" s="55"/>
    </row>
    <row r="383" spans="2:16">
      <c r="B383" s="33"/>
      <c r="C383" s="33"/>
      <c r="D383" s="33"/>
      <c r="E383" s="33"/>
      <c r="F383" s="33"/>
      <c r="G383" s="33"/>
      <c r="H383" s="42"/>
      <c r="I383" s="33"/>
      <c r="J383" s="33"/>
      <c r="K383" s="42"/>
      <c r="L383" s="33"/>
      <c r="M383" s="55"/>
      <c r="N383" s="33"/>
      <c r="O383" s="33"/>
      <c r="P383" s="55"/>
    </row>
    <row r="384" spans="2:16">
      <c r="B384" s="33"/>
      <c r="C384" s="33"/>
      <c r="D384" s="33"/>
      <c r="E384" s="33"/>
      <c r="F384" s="33"/>
      <c r="G384" s="33"/>
      <c r="H384" s="42"/>
      <c r="I384" s="33"/>
      <c r="J384" s="33"/>
      <c r="K384" s="42"/>
      <c r="L384" s="33"/>
      <c r="M384" s="55"/>
      <c r="N384" s="33"/>
      <c r="O384" s="33"/>
      <c r="P384" s="55"/>
    </row>
    <row r="385" spans="2:16">
      <c r="B385" s="33"/>
      <c r="C385" s="33"/>
      <c r="D385" s="33"/>
      <c r="E385" s="33"/>
      <c r="F385" s="33"/>
      <c r="G385" s="33"/>
      <c r="H385" s="42"/>
      <c r="I385" s="33"/>
      <c r="J385" s="33"/>
      <c r="K385" s="42"/>
      <c r="L385" s="33"/>
      <c r="M385" s="55"/>
      <c r="N385" s="33"/>
      <c r="O385" s="33"/>
      <c r="P385" s="55"/>
    </row>
    <row r="386" spans="2:16">
      <c r="B386" s="33"/>
      <c r="C386" s="33"/>
      <c r="D386" s="33"/>
      <c r="E386" s="33"/>
      <c r="F386" s="33"/>
      <c r="G386" s="33"/>
      <c r="H386" s="42"/>
      <c r="I386" s="33"/>
      <c r="J386" s="33"/>
      <c r="K386" s="42"/>
      <c r="L386" s="33"/>
      <c r="M386" s="55"/>
      <c r="N386" s="33"/>
      <c r="O386" s="33"/>
      <c r="P386" s="55"/>
    </row>
    <row r="387" spans="2:16">
      <c r="B387" s="33"/>
      <c r="C387" s="33"/>
      <c r="D387" s="33"/>
      <c r="E387" s="33"/>
      <c r="F387" s="33"/>
      <c r="G387" s="33"/>
      <c r="H387" s="42"/>
      <c r="I387" s="33"/>
      <c r="J387" s="33"/>
      <c r="K387" s="42"/>
      <c r="L387" s="33"/>
      <c r="M387" s="55"/>
      <c r="N387" s="33"/>
      <c r="O387" s="33"/>
      <c r="P387" s="55"/>
    </row>
    <row r="388" spans="2:16">
      <c r="B388" s="33"/>
      <c r="C388" s="33"/>
      <c r="D388" s="33"/>
      <c r="E388" s="33"/>
      <c r="F388" s="33"/>
      <c r="G388" s="33"/>
      <c r="H388" s="42"/>
      <c r="I388" s="33"/>
      <c r="J388" s="33"/>
      <c r="K388" s="42"/>
      <c r="L388" s="33"/>
      <c r="M388" s="55"/>
      <c r="N388" s="33"/>
      <c r="O388" s="33"/>
      <c r="P388" s="55"/>
    </row>
    <row r="389" spans="2:16">
      <c r="B389" s="33"/>
      <c r="C389" s="33"/>
      <c r="D389" s="33"/>
      <c r="E389" s="33"/>
      <c r="F389" s="33"/>
      <c r="G389" s="33"/>
      <c r="H389" s="42"/>
      <c r="I389" s="33"/>
      <c r="J389" s="33"/>
      <c r="K389" s="42"/>
      <c r="L389" s="33"/>
      <c r="M389" s="55"/>
      <c r="N389" s="33"/>
      <c r="O389" s="33"/>
      <c r="P389" s="55"/>
    </row>
    <row r="390" spans="2:16">
      <c r="B390" s="33"/>
      <c r="C390" s="33"/>
      <c r="D390" s="33"/>
      <c r="E390" s="33"/>
      <c r="F390" s="33"/>
      <c r="G390" s="33"/>
      <c r="H390" s="42"/>
      <c r="I390" s="33"/>
      <c r="J390" s="33"/>
      <c r="K390" s="42"/>
      <c r="L390" s="33"/>
      <c r="M390" s="55"/>
      <c r="N390" s="33"/>
      <c r="O390" s="33"/>
      <c r="P390" s="55"/>
    </row>
    <row r="391" spans="2:16">
      <c r="B391" s="33"/>
      <c r="C391" s="33"/>
      <c r="D391" s="33"/>
      <c r="E391" s="33"/>
      <c r="F391" s="33"/>
      <c r="G391" s="33"/>
      <c r="H391" s="42"/>
      <c r="I391" s="33"/>
      <c r="J391" s="33"/>
      <c r="K391" s="42"/>
      <c r="L391" s="33"/>
      <c r="M391" s="55"/>
      <c r="N391" s="33"/>
      <c r="O391" s="33"/>
      <c r="P391" s="55"/>
    </row>
    <row r="392" spans="2:16">
      <c r="B392" s="33"/>
      <c r="C392" s="33"/>
      <c r="D392" s="33"/>
      <c r="E392" s="33"/>
      <c r="F392" s="33"/>
      <c r="G392" s="33"/>
      <c r="H392" s="42"/>
      <c r="I392" s="33"/>
      <c r="J392" s="33"/>
      <c r="K392" s="42"/>
      <c r="L392" s="33"/>
      <c r="M392" s="55"/>
      <c r="N392" s="33"/>
      <c r="O392" s="33"/>
      <c r="P392" s="55"/>
    </row>
    <row r="393" spans="2:16">
      <c r="B393" s="33"/>
      <c r="C393" s="33"/>
      <c r="D393" s="33"/>
      <c r="E393" s="33"/>
      <c r="F393" s="33"/>
      <c r="G393" s="33"/>
      <c r="H393" s="42"/>
      <c r="I393" s="33"/>
      <c r="J393" s="33"/>
      <c r="K393" s="42"/>
      <c r="L393" s="33"/>
      <c r="M393" s="55"/>
      <c r="N393" s="33"/>
      <c r="O393" s="33"/>
      <c r="P393" s="55"/>
    </row>
    <row r="394" spans="2:16">
      <c r="B394" s="33"/>
      <c r="C394" s="33"/>
      <c r="D394" s="33"/>
      <c r="E394" s="33"/>
      <c r="F394" s="33"/>
      <c r="G394" s="33"/>
      <c r="H394" s="42"/>
      <c r="I394" s="33"/>
      <c r="J394" s="33"/>
      <c r="K394" s="42"/>
      <c r="L394" s="33"/>
      <c r="M394" s="55"/>
      <c r="N394" s="33"/>
      <c r="O394" s="33"/>
      <c r="P394" s="55"/>
    </row>
    <row r="395" spans="2:16">
      <c r="B395" s="33"/>
      <c r="C395" s="33"/>
      <c r="D395" s="33"/>
      <c r="E395" s="33"/>
      <c r="F395" s="33"/>
      <c r="G395" s="33"/>
      <c r="H395" s="42"/>
      <c r="I395" s="33"/>
      <c r="J395" s="33"/>
      <c r="K395" s="42"/>
      <c r="L395" s="33"/>
      <c r="M395" s="55"/>
      <c r="N395" s="33"/>
      <c r="O395" s="33"/>
      <c r="P395" s="55"/>
    </row>
    <row r="396" spans="2:16">
      <c r="B396" s="33"/>
      <c r="C396" s="33"/>
      <c r="D396" s="33"/>
      <c r="E396" s="33"/>
      <c r="F396" s="33"/>
      <c r="G396" s="33"/>
      <c r="H396" s="42"/>
      <c r="I396" s="33"/>
      <c r="J396" s="33"/>
      <c r="K396" s="42"/>
      <c r="L396" s="33"/>
      <c r="M396" s="55"/>
      <c r="N396" s="33"/>
      <c r="O396" s="33"/>
      <c r="P396" s="55"/>
    </row>
    <row r="397" spans="2:16">
      <c r="B397" s="33"/>
      <c r="C397" s="33"/>
      <c r="D397" s="33"/>
      <c r="E397" s="33"/>
      <c r="F397" s="33"/>
      <c r="G397" s="33"/>
      <c r="H397" s="42"/>
      <c r="I397" s="33"/>
      <c r="J397" s="33"/>
      <c r="K397" s="42"/>
      <c r="L397" s="33"/>
      <c r="M397" s="55"/>
      <c r="N397" s="33"/>
      <c r="O397" s="33"/>
      <c r="P397" s="55"/>
    </row>
    <row r="398" spans="2:16">
      <c r="B398" s="33"/>
      <c r="C398" s="33"/>
      <c r="D398" s="33"/>
      <c r="E398" s="33"/>
      <c r="F398" s="33"/>
      <c r="G398" s="33"/>
      <c r="H398" s="42"/>
      <c r="I398" s="33"/>
      <c r="J398" s="33"/>
      <c r="K398" s="42"/>
      <c r="L398" s="33"/>
      <c r="M398" s="55"/>
      <c r="N398" s="33"/>
      <c r="O398" s="33"/>
      <c r="P398" s="55"/>
    </row>
    <row r="399" spans="2:16">
      <c r="B399" s="33"/>
      <c r="C399" s="33"/>
      <c r="D399" s="33"/>
      <c r="E399" s="33"/>
      <c r="F399" s="33"/>
      <c r="G399" s="33"/>
      <c r="H399" s="42"/>
      <c r="I399" s="33"/>
      <c r="J399" s="33"/>
      <c r="K399" s="42"/>
      <c r="L399" s="33"/>
      <c r="M399" s="55"/>
      <c r="N399" s="33"/>
      <c r="O399" s="33"/>
      <c r="P399" s="55"/>
    </row>
    <row r="400" spans="2:16">
      <c r="B400" s="33"/>
      <c r="C400" s="33"/>
      <c r="D400" s="33"/>
      <c r="E400" s="33"/>
      <c r="F400" s="33"/>
      <c r="G400" s="33"/>
      <c r="H400" s="42"/>
      <c r="I400" s="33"/>
      <c r="J400" s="33"/>
      <c r="K400" s="42"/>
      <c r="L400" s="33"/>
      <c r="M400" s="55"/>
      <c r="N400" s="33"/>
      <c r="O400" s="33"/>
      <c r="P400" s="55"/>
    </row>
    <row r="401" spans="2:16">
      <c r="B401" s="33"/>
      <c r="C401" s="33"/>
      <c r="D401" s="33"/>
      <c r="E401" s="33"/>
      <c r="F401" s="33"/>
      <c r="G401" s="33"/>
      <c r="H401" s="42"/>
      <c r="I401" s="33"/>
      <c r="J401" s="33"/>
      <c r="K401" s="42"/>
      <c r="L401" s="33"/>
      <c r="M401" s="55"/>
      <c r="N401" s="33"/>
      <c r="O401" s="33"/>
      <c r="P401" s="55"/>
    </row>
    <row r="402" spans="2:16">
      <c r="B402" s="33"/>
      <c r="C402" s="33"/>
      <c r="D402" s="33"/>
      <c r="E402" s="33"/>
      <c r="F402" s="33"/>
      <c r="G402" s="33"/>
      <c r="H402" s="42"/>
      <c r="I402" s="33"/>
      <c r="J402" s="33"/>
      <c r="K402" s="42"/>
      <c r="L402" s="33"/>
      <c r="M402" s="55"/>
      <c r="N402" s="33"/>
      <c r="O402" s="33"/>
      <c r="P402" s="55"/>
    </row>
    <row r="403" spans="2:16">
      <c r="B403" s="33"/>
      <c r="C403" s="33"/>
      <c r="D403" s="33"/>
      <c r="E403" s="33"/>
      <c r="F403" s="33"/>
      <c r="G403" s="33"/>
      <c r="H403" s="42"/>
      <c r="I403" s="33"/>
      <c r="J403" s="33"/>
      <c r="K403" s="42"/>
      <c r="L403" s="33"/>
      <c r="M403" s="55"/>
      <c r="N403" s="33"/>
      <c r="O403" s="33"/>
      <c r="P403" s="55"/>
    </row>
    <row r="404" spans="2:16">
      <c r="B404" s="33"/>
      <c r="C404" s="33"/>
      <c r="D404" s="33"/>
      <c r="E404" s="33"/>
      <c r="F404" s="33"/>
      <c r="G404" s="33"/>
      <c r="H404" s="42"/>
      <c r="I404" s="33"/>
      <c r="J404" s="33"/>
      <c r="K404" s="42"/>
      <c r="L404" s="33"/>
      <c r="M404" s="55"/>
      <c r="N404" s="33"/>
      <c r="O404" s="33"/>
      <c r="P404" s="55"/>
    </row>
    <row r="405" spans="2:16">
      <c r="B405" s="33"/>
      <c r="C405" s="33"/>
      <c r="D405" s="33"/>
      <c r="E405" s="33"/>
      <c r="F405" s="33"/>
      <c r="G405" s="33"/>
      <c r="H405" s="42"/>
      <c r="I405" s="33"/>
      <c r="J405" s="33"/>
      <c r="K405" s="42"/>
      <c r="L405" s="33"/>
      <c r="M405" s="55"/>
      <c r="N405" s="33"/>
      <c r="O405" s="33"/>
      <c r="P405" s="55"/>
    </row>
    <row r="406" spans="2:16">
      <c r="B406" s="33"/>
      <c r="C406" s="33"/>
      <c r="D406" s="33"/>
      <c r="E406" s="33"/>
      <c r="F406" s="33"/>
      <c r="G406" s="33"/>
      <c r="H406" s="42"/>
      <c r="I406" s="33"/>
      <c r="J406" s="33"/>
      <c r="K406" s="42"/>
      <c r="L406" s="33"/>
      <c r="M406" s="55"/>
      <c r="N406" s="33"/>
      <c r="O406" s="33"/>
      <c r="P406" s="55"/>
    </row>
    <row r="407" spans="2:16">
      <c r="B407" s="33"/>
      <c r="C407" s="33"/>
      <c r="D407" s="33"/>
      <c r="E407" s="33"/>
      <c r="F407" s="33"/>
      <c r="G407" s="33"/>
      <c r="H407" s="42"/>
      <c r="I407" s="33"/>
      <c r="J407" s="33"/>
      <c r="K407" s="42"/>
      <c r="L407" s="33"/>
      <c r="M407" s="55"/>
      <c r="N407" s="33"/>
      <c r="O407" s="33"/>
      <c r="P407" s="55"/>
    </row>
    <row r="408" spans="2:16">
      <c r="B408" s="33"/>
      <c r="C408" s="33"/>
      <c r="D408" s="33"/>
      <c r="E408" s="33"/>
      <c r="F408" s="33"/>
      <c r="G408" s="33"/>
      <c r="H408" s="42"/>
      <c r="I408" s="33"/>
      <c r="J408" s="33"/>
      <c r="K408" s="42"/>
      <c r="L408" s="33"/>
      <c r="M408" s="55"/>
      <c r="N408" s="33"/>
      <c r="O408" s="33"/>
      <c r="P408" s="55"/>
    </row>
    <row r="409" spans="2:16">
      <c r="B409" s="33"/>
      <c r="C409" s="33"/>
      <c r="D409" s="33"/>
      <c r="E409" s="33"/>
      <c r="F409" s="33"/>
      <c r="G409" s="33"/>
      <c r="H409" s="42"/>
      <c r="I409" s="33"/>
      <c r="J409" s="33"/>
      <c r="K409" s="42"/>
      <c r="L409" s="33"/>
      <c r="M409" s="55"/>
      <c r="N409" s="33"/>
      <c r="O409" s="33"/>
      <c r="P409" s="55"/>
    </row>
    <row r="410" spans="2:16">
      <c r="B410" s="33"/>
      <c r="C410" s="33"/>
      <c r="D410" s="33"/>
      <c r="E410" s="33"/>
      <c r="F410" s="33"/>
      <c r="G410" s="33"/>
      <c r="H410" s="42"/>
      <c r="I410" s="33"/>
      <c r="J410" s="33"/>
      <c r="K410" s="42"/>
      <c r="L410" s="33"/>
      <c r="M410" s="55"/>
      <c r="N410" s="33"/>
      <c r="O410" s="33"/>
      <c r="P410" s="55"/>
    </row>
    <row r="411" spans="2:16">
      <c r="B411" s="33"/>
      <c r="C411" s="33"/>
      <c r="D411" s="33"/>
      <c r="E411" s="33"/>
      <c r="F411" s="33"/>
      <c r="G411" s="33"/>
      <c r="H411" s="42"/>
      <c r="I411" s="33"/>
      <c r="J411" s="33"/>
      <c r="K411" s="42"/>
      <c r="L411" s="33"/>
      <c r="M411" s="55"/>
      <c r="N411" s="33"/>
      <c r="O411" s="33"/>
      <c r="P411" s="55"/>
    </row>
    <row r="412" spans="2:16">
      <c r="B412" s="33"/>
      <c r="C412" s="33"/>
      <c r="D412" s="33"/>
      <c r="E412" s="33"/>
      <c r="F412" s="33"/>
      <c r="G412" s="33"/>
      <c r="H412" s="42"/>
      <c r="I412" s="33"/>
      <c r="J412" s="33"/>
      <c r="K412" s="42"/>
      <c r="L412" s="33"/>
      <c r="M412" s="55"/>
      <c r="N412" s="33"/>
      <c r="O412" s="33"/>
      <c r="P412" s="55"/>
    </row>
    <row r="413" spans="2:16">
      <c r="B413" s="33"/>
      <c r="C413" s="33"/>
      <c r="D413" s="33"/>
      <c r="E413" s="33"/>
      <c r="F413" s="33"/>
      <c r="G413" s="33"/>
      <c r="H413" s="42"/>
      <c r="I413" s="33"/>
      <c r="J413" s="33"/>
      <c r="K413" s="42"/>
      <c r="L413" s="33"/>
      <c r="M413" s="55"/>
      <c r="N413" s="33"/>
      <c r="O413" s="33"/>
      <c r="P413" s="55"/>
    </row>
    <row r="414" spans="2:16">
      <c r="B414" s="33"/>
      <c r="C414" s="33"/>
      <c r="D414" s="33"/>
      <c r="E414" s="33"/>
      <c r="F414" s="33"/>
      <c r="G414" s="33"/>
      <c r="H414" s="42"/>
      <c r="I414" s="33"/>
      <c r="J414" s="33"/>
      <c r="K414" s="42"/>
      <c r="L414" s="33"/>
      <c r="M414" s="55"/>
      <c r="N414" s="33"/>
      <c r="O414" s="33"/>
      <c r="P414" s="55"/>
    </row>
    <row r="415" spans="2:16">
      <c r="B415" s="33"/>
      <c r="C415" s="33"/>
      <c r="D415" s="33"/>
      <c r="E415" s="33"/>
      <c r="F415" s="33"/>
      <c r="G415" s="33"/>
      <c r="H415" s="42"/>
      <c r="I415" s="33"/>
      <c r="J415" s="33"/>
      <c r="K415" s="42"/>
      <c r="L415" s="33"/>
      <c r="M415" s="55"/>
      <c r="N415" s="33"/>
      <c r="O415" s="33"/>
      <c r="P415" s="55"/>
    </row>
    <row r="416" spans="2:16">
      <c r="B416" s="33"/>
      <c r="C416" s="33"/>
      <c r="D416" s="33"/>
      <c r="E416" s="33"/>
      <c r="F416" s="33"/>
      <c r="G416" s="33"/>
      <c r="H416" s="42"/>
      <c r="I416" s="33"/>
      <c r="J416" s="33"/>
      <c r="K416" s="42"/>
      <c r="L416" s="33"/>
      <c r="M416" s="55"/>
      <c r="N416" s="33"/>
      <c r="O416" s="33"/>
      <c r="P416" s="55"/>
    </row>
    <row r="417" spans="2:16">
      <c r="B417" s="33"/>
      <c r="C417" s="33"/>
      <c r="D417" s="33"/>
      <c r="E417" s="33"/>
      <c r="F417" s="33"/>
      <c r="G417" s="33"/>
      <c r="H417" s="42"/>
      <c r="I417" s="33"/>
      <c r="J417" s="33"/>
      <c r="K417" s="42"/>
      <c r="L417" s="33"/>
      <c r="M417" s="55"/>
      <c r="N417" s="33"/>
      <c r="O417" s="33"/>
      <c r="P417" s="55"/>
    </row>
    <row r="418" spans="2:16">
      <c r="B418" s="33"/>
      <c r="C418" s="33"/>
      <c r="D418" s="33"/>
      <c r="E418" s="33"/>
      <c r="F418" s="33"/>
      <c r="G418" s="33"/>
      <c r="H418" s="42"/>
      <c r="I418" s="33"/>
      <c r="J418" s="33"/>
      <c r="K418" s="42"/>
      <c r="L418" s="33"/>
      <c r="M418" s="55"/>
      <c r="N418" s="33"/>
      <c r="O418" s="33"/>
      <c r="P418" s="55"/>
    </row>
    <row r="419" spans="2:16">
      <c r="B419" s="33"/>
      <c r="C419" s="33"/>
      <c r="D419" s="33"/>
      <c r="E419" s="33"/>
      <c r="F419" s="33"/>
      <c r="G419" s="33"/>
      <c r="H419" s="42"/>
      <c r="I419" s="33"/>
      <c r="J419" s="33"/>
      <c r="K419" s="42"/>
      <c r="L419" s="33"/>
      <c r="M419" s="55"/>
      <c r="N419" s="33"/>
      <c r="O419" s="33"/>
      <c r="P419" s="55"/>
    </row>
    <row r="420" spans="2:16">
      <c r="B420" s="33"/>
      <c r="C420" s="33"/>
      <c r="D420" s="33"/>
      <c r="E420" s="33"/>
      <c r="F420" s="33"/>
      <c r="G420" s="33"/>
      <c r="H420" s="42"/>
      <c r="I420" s="33"/>
      <c r="J420" s="33"/>
      <c r="K420" s="42"/>
      <c r="L420" s="33"/>
      <c r="M420" s="55"/>
      <c r="N420" s="33"/>
      <c r="O420" s="33"/>
      <c r="P420" s="55"/>
    </row>
    <row r="421" spans="2:16">
      <c r="B421" s="33"/>
      <c r="C421" s="33"/>
      <c r="D421" s="33"/>
      <c r="E421" s="33"/>
      <c r="F421" s="33"/>
      <c r="G421" s="33"/>
      <c r="H421" s="42"/>
      <c r="I421" s="33"/>
      <c r="J421" s="33"/>
      <c r="K421" s="42"/>
      <c r="L421" s="33"/>
      <c r="M421" s="55"/>
      <c r="N421" s="33"/>
      <c r="O421" s="33"/>
      <c r="P421" s="55"/>
    </row>
    <row r="422" spans="2:16">
      <c r="B422" s="33"/>
      <c r="C422" s="33"/>
      <c r="D422" s="33"/>
      <c r="E422" s="33"/>
      <c r="F422" s="33"/>
      <c r="G422" s="33"/>
      <c r="H422" s="42"/>
      <c r="I422" s="33"/>
      <c r="J422" s="33"/>
      <c r="K422" s="42"/>
      <c r="L422" s="33"/>
      <c r="M422" s="55"/>
      <c r="N422" s="33"/>
      <c r="O422" s="33"/>
      <c r="P422" s="55"/>
    </row>
    <row r="423" spans="2:16">
      <c r="B423" s="33"/>
      <c r="C423" s="33"/>
      <c r="D423" s="33"/>
      <c r="E423" s="33"/>
      <c r="F423" s="33"/>
      <c r="G423" s="33"/>
      <c r="H423" s="42"/>
      <c r="I423" s="33"/>
      <c r="J423" s="33"/>
      <c r="K423" s="42"/>
      <c r="L423" s="33"/>
      <c r="M423" s="55"/>
      <c r="N423" s="33"/>
      <c r="O423" s="33"/>
      <c r="P423" s="55"/>
    </row>
    <row r="424" spans="2:16">
      <c r="B424" s="33"/>
      <c r="C424" s="33"/>
      <c r="D424" s="33"/>
      <c r="E424" s="33"/>
      <c r="F424" s="33"/>
      <c r="G424" s="33"/>
      <c r="H424" s="42"/>
      <c r="I424" s="33"/>
      <c r="J424" s="33"/>
      <c r="K424" s="42"/>
      <c r="L424" s="33"/>
      <c r="M424" s="55"/>
      <c r="N424" s="33"/>
      <c r="O424" s="33"/>
      <c r="P424" s="55"/>
    </row>
    <row r="425" spans="2:16">
      <c r="B425" s="33"/>
      <c r="C425" s="33"/>
      <c r="D425" s="33"/>
      <c r="E425" s="33"/>
      <c r="F425" s="33"/>
      <c r="G425" s="33"/>
      <c r="H425" s="42"/>
      <c r="I425" s="33"/>
      <c r="J425" s="33"/>
      <c r="K425" s="42"/>
      <c r="L425" s="33"/>
      <c r="M425" s="55"/>
      <c r="N425" s="33"/>
      <c r="O425" s="33"/>
      <c r="P425" s="55"/>
    </row>
    <row r="426" spans="2:16">
      <c r="B426" s="33"/>
      <c r="C426" s="33"/>
      <c r="D426" s="33"/>
      <c r="E426" s="33"/>
      <c r="F426" s="33"/>
      <c r="G426" s="33"/>
      <c r="H426" s="42"/>
      <c r="I426" s="33"/>
      <c r="J426" s="33"/>
      <c r="K426" s="42"/>
      <c r="L426" s="33"/>
      <c r="M426" s="55"/>
      <c r="N426" s="33"/>
      <c r="O426" s="33"/>
      <c r="P426" s="55"/>
    </row>
    <row r="427" spans="2:16">
      <c r="B427" s="33"/>
      <c r="C427" s="33"/>
      <c r="D427" s="33"/>
      <c r="E427" s="33"/>
      <c r="F427" s="33"/>
      <c r="G427" s="33"/>
      <c r="H427" s="42"/>
      <c r="I427" s="33"/>
      <c r="J427" s="33"/>
      <c r="K427" s="42"/>
      <c r="L427" s="33"/>
      <c r="M427" s="55"/>
      <c r="N427" s="33"/>
      <c r="O427" s="33"/>
      <c r="P427" s="55"/>
    </row>
    <row r="428" spans="2:16">
      <c r="B428" s="33"/>
      <c r="C428" s="33"/>
      <c r="D428" s="33"/>
      <c r="E428" s="33"/>
      <c r="F428" s="33"/>
      <c r="G428" s="33"/>
      <c r="H428" s="42"/>
      <c r="I428" s="33"/>
      <c r="J428" s="33"/>
      <c r="K428" s="42"/>
      <c r="L428" s="33"/>
      <c r="M428" s="55"/>
      <c r="N428" s="33"/>
      <c r="O428" s="33"/>
      <c r="P428" s="55"/>
    </row>
    <row r="429" spans="2:16">
      <c r="B429" s="33"/>
      <c r="C429" s="33"/>
      <c r="D429" s="33"/>
      <c r="E429" s="33"/>
      <c r="F429" s="33"/>
      <c r="G429" s="33"/>
      <c r="H429" s="42"/>
      <c r="I429" s="33"/>
      <c r="J429" s="33"/>
      <c r="K429" s="42"/>
      <c r="L429" s="33"/>
      <c r="M429" s="55"/>
      <c r="N429" s="33"/>
      <c r="O429" s="33"/>
      <c r="P429" s="55"/>
    </row>
    <row r="430" spans="2:16">
      <c r="B430" s="33"/>
      <c r="C430" s="33"/>
      <c r="D430" s="33"/>
      <c r="E430" s="33"/>
      <c r="F430" s="33"/>
      <c r="G430" s="33"/>
      <c r="H430" s="42"/>
      <c r="I430" s="33"/>
      <c r="J430" s="33"/>
      <c r="K430" s="42"/>
      <c r="L430" s="33"/>
      <c r="M430" s="55"/>
      <c r="N430" s="33"/>
      <c r="O430" s="33"/>
      <c r="P430" s="55"/>
    </row>
    <row r="431" spans="2:16">
      <c r="B431" s="33"/>
      <c r="C431" s="33"/>
      <c r="D431" s="33"/>
      <c r="E431" s="33"/>
      <c r="F431" s="33"/>
      <c r="G431" s="33"/>
      <c r="H431" s="42"/>
      <c r="I431" s="33"/>
      <c r="J431" s="33"/>
      <c r="K431" s="42"/>
      <c r="L431" s="33"/>
      <c r="M431" s="55"/>
      <c r="N431" s="33"/>
      <c r="O431" s="33"/>
      <c r="P431" s="55"/>
    </row>
    <row r="432" spans="2:16">
      <c r="B432" s="33"/>
      <c r="C432" s="33"/>
      <c r="D432" s="33"/>
      <c r="E432" s="33"/>
      <c r="F432" s="33"/>
      <c r="G432" s="33"/>
      <c r="H432" s="42"/>
      <c r="I432" s="33"/>
      <c r="J432" s="33"/>
      <c r="K432" s="42"/>
      <c r="L432" s="33"/>
      <c r="M432" s="55"/>
      <c r="N432" s="33"/>
      <c r="O432" s="33"/>
      <c r="P432" s="55"/>
    </row>
    <row r="433" spans="2:16">
      <c r="B433" s="33"/>
      <c r="C433" s="33"/>
      <c r="D433" s="33"/>
      <c r="E433" s="33"/>
      <c r="F433" s="33"/>
      <c r="G433" s="33"/>
      <c r="H433" s="42"/>
      <c r="I433" s="33"/>
      <c r="J433" s="33"/>
      <c r="K433" s="42"/>
      <c r="L433" s="33"/>
      <c r="M433" s="55"/>
      <c r="N433" s="33"/>
      <c r="O433" s="33"/>
      <c r="P433" s="55"/>
    </row>
    <row r="434" spans="2:16">
      <c r="B434" s="33"/>
      <c r="C434" s="33"/>
      <c r="D434" s="33"/>
      <c r="E434" s="33"/>
      <c r="F434" s="33"/>
      <c r="G434" s="33"/>
      <c r="H434" s="42"/>
      <c r="I434" s="33"/>
      <c r="J434" s="33"/>
      <c r="K434" s="42"/>
      <c r="L434" s="33"/>
      <c r="M434" s="55"/>
      <c r="N434" s="33"/>
      <c r="O434" s="33"/>
      <c r="P434" s="55"/>
    </row>
    <row r="435" spans="2:16">
      <c r="B435" s="33"/>
      <c r="C435" s="33"/>
      <c r="D435" s="33"/>
      <c r="E435" s="33"/>
      <c r="F435" s="33"/>
      <c r="G435" s="33"/>
      <c r="H435" s="42"/>
      <c r="I435" s="33"/>
      <c r="J435" s="33"/>
      <c r="K435" s="42"/>
      <c r="L435" s="33"/>
      <c r="M435" s="55"/>
      <c r="N435" s="33"/>
      <c r="O435" s="33"/>
      <c r="P435" s="55"/>
    </row>
    <row r="436" spans="2:16">
      <c r="B436" s="33"/>
      <c r="C436" s="33"/>
      <c r="D436" s="33"/>
      <c r="E436" s="33"/>
      <c r="F436" s="33"/>
      <c r="G436" s="33"/>
      <c r="H436" s="42"/>
      <c r="I436" s="33"/>
      <c r="J436" s="33"/>
      <c r="K436" s="42"/>
      <c r="L436" s="33"/>
      <c r="M436" s="55"/>
      <c r="N436" s="33"/>
      <c r="O436" s="33"/>
      <c r="P436" s="55"/>
    </row>
    <row r="437" spans="2:16">
      <c r="B437" s="33"/>
      <c r="C437" s="33"/>
      <c r="D437" s="33"/>
      <c r="E437" s="33"/>
      <c r="F437" s="33"/>
      <c r="G437" s="33"/>
      <c r="H437" s="42"/>
      <c r="I437" s="33"/>
      <c r="J437" s="33"/>
      <c r="K437" s="42"/>
      <c r="L437" s="33"/>
      <c r="M437" s="55"/>
      <c r="N437" s="33"/>
      <c r="O437" s="33"/>
      <c r="P437" s="55"/>
    </row>
    <row r="438" spans="2:16">
      <c r="B438" s="33"/>
      <c r="C438" s="33"/>
      <c r="D438" s="33"/>
      <c r="E438" s="33"/>
      <c r="F438" s="33"/>
      <c r="G438" s="33"/>
      <c r="H438" s="42"/>
      <c r="I438" s="33"/>
      <c r="J438" s="33"/>
      <c r="K438" s="42"/>
      <c r="L438" s="33"/>
      <c r="M438" s="55"/>
      <c r="N438" s="33"/>
      <c r="O438" s="33"/>
      <c r="P438" s="55"/>
    </row>
    <row r="439" spans="2:16">
      <c r="B439" s="33"/>
      <c r="C439" s="33"/>
      <c r="D439" s="33"/>
      <c r="E439" s="33"/>
      <c r="F439" s="33"/>
      <c r="G439" s="33"/>
      <c r="H439" s="42"/>
      <c r="I439" s="33"/>
      <c r="J439" s="33"/>
      <c r="K439" s="42"/>
      <c r="L439" s="33"/>
      <c r="M439" s="55"/>
      <c r="N439" s="33"/>
      <c r="O439" s="33"/>
      <c r="P439" s="55"/>
    </row>
    <row r="440" spans="2:16">
      <c r="B440" s="33"/>
      <c r="C440" s="33"/>
      <c r="D440" s="33"/>
      <c r="E440" s="33"/>
      <c r="F440" s="33"/>
      <c r="G440" s="33"/>
      <c r="H440" s="42"/>
      <c r="I440" s="33"/>
      <c r="J440" s="33"/>
      <c r="K440" s="42"/>
      <c r="L440" s="33"/>
      <c r="M440" s="55"/>
      <c r="N440" s="33"/>
      <c r="O440" s="33"/>
      <c r="P440" s="55"/>
    </row>
    <row r="441" spans="2:16">
      <c r="B441" s="33"/>
      <c r="C441" s="33"/>
      <c r="D441" s="33"/>
      <c r="E441" s="33"/>
      <c r="F441" s="33"/>
      <c r="G441" s="33"/>
      <c r="H441" s="42"/>
      <c r="I441" s="33"/>
      <c r="J441" s="33"/>
      <c r="K441" s="42"/>
      <c r="L441" s="33"/>
      <c r="M441" s="55"/>
      <c r="N441" s="33"/>
      <c r="O441" s="33"/>
      <c r="P441" s="55"/>
    </row>
    <row r="442" spans="2:16">
      <c r="B442" s="33"/>
      <c r="C442" s="33"/>
      <c r="D442" s="33"/>
      <c r="E442" s="33"/>
      <c r="F442" s="33"/>
      <c r="G442" s="33"/>
      <c r="H442" s="42"/>
      <c r="I442" s="33"/>
      <c r="J442" s="33"/>
      <c r="K442" s="42"/>
      <c r="L442" s="33"/>
      <c r="M442" s="55"/>
      <c r="N442" s="33"/>
      <c r="O442" s="33"/>
      <c r="P442" s="55"/>
    </row>
    <row r="443" spans="2:16">
      <c r="B443" s="33"/>
      <c r="C443" s="33"/>
      <c r="D443" s="33"/>
      <c r="E443" s="33"/>
      <c r="F443" s="33"/>
      <c r="G443" s="33"/>
      <c r="H443" s="42"/>
      <c r="I443" s="33"/>
      <c r="J443" s="33"/>
      <c r="K443" s="42"/>
      <c r="L443" s="33"/>
      <c r="M443" s="55"/>
      <c r="N443" s="33"/>
      <c r="O443" s="33"/>
      <c r="P443" s="55"/>
    </row>
    <row r="444" spans="2:16">
      <c r="B444" s="33"/>
      <c r="C444" s="33"/>
      <c r="D444" s="33"/>
      <c r="E444" s="33"/>
      <c r="F444" s="33"/>
      <c r="G444" s="33"/>
      <c r="H444" s="42"/>
      <c r="I444" s="33"/>
      <c r="J444" s="33"/>
      <c r="K444" s="42"/>
      <c r="L444" s="33"/>
      <c r="M444" s="55"/>
      <c r="N444" s="33"/>
      <c r="O444" s="33"/>
      <c r="P444" s="55"/>
    </row>
    <row r="445" spans="2:16">
      <c r="B445" s="33"/>
      <c r="C445" s="33"/>
      <c r="D445" s="33"/>
      <c r="E445" s="33"/>
      <c r="F445" s="33"/>
      <c r="G445" s="33"/>
      <c r="H445" s="42"/>
      <c r="I445" s="33"/>
      <c r="J445" s="33"/>
      <c r="K445" s="42"/>
      <c r="L445" s="33"/>
      <c r="M445" s="55"/>
      <c r="N445" s="33"/>
      <c r="O445" s="33"/>
      <c r="P445" s="55"/>
    </row>
    <row r="446" spans="2:16">
      <c r="B446" s="33"/>
      <c r="C446" s="33"/>
      <c r="D446" s="33"/>
      <c r="E446" s="33"/>
      <c r="F446" s="33"/>
      <c r="G446" s="33"/>
      <c r="H446" s="42"/>
      <c r="I446" s="33"/>
      <c r="J446" s="33"/>
      <c r="K446" s="42"/>
      <c r="L446" s="33"/>
      <c r="M446" s="55"/>
      <c r="N446" s="33"/>
      <c r="O446" s="33"/>
      <c r="P446" s="55"/>
    </row>
    <row r="447" spans="2:16">
      <c r="B447" s="33"/>
      <c r="C447" s="33"/>
      <c r="D447" s="33"/>
      <c r="E447" s="33"/>
      <c r="F447" s="33"/>
      <c r="G447" s="33"/>
      <c r="H447" s="42"/>
      <c r="I447" s="33"/>
      <c r="J447" s="33"/>
      <c r="K447" s="42"/>
      <c r="L447" s="33"/>
      <c r="M447" s="55"/>
      <c r="N447" s="33"/>
      <c r="O447" s="33"/>
      <c r="P447" s="55"/>
    </row>
    <row r="448" spans="2:16">
      <c r="B448" s="33"/>
      <c r="C448" s="33"/>
      <c r="D448" s="33"/>
      <c r="E448" s="33"/>
      <c r="F448" s="33"/>
      <c r="G448" s="33"/>
      <c r="H448" s="42"/>
      <c r="I448" s="33"/>
      <c r="J448" s="33"/>
      <c r="K448" s="42"/>
      <c r="L448" s="33"/>
      <c r="M448" s="55"/>
      <c r="N448" s="33"/>
      <c r="O448" s="33"/>
      <c r="P448" s="55"/>
    </row>
    <row r="449" spans="2:16">
      <c r="B449" s="33"/>
      <c r="C449" s="33"/>
      <c r="D449" s="33"/>
      <c r="E449" s="33"/>
      <c r="F449" s="33"/>
      <c r="G449" s="33"/>
      <c r="H449" s="42"/>
      <c r="I449" s="33"/>
      <c r="J449" s="33"/>
      <c r="K449" s="42"/>
      <c r="L449" s="33"/>
      <c r="M449" s="55"/>
      <c r="N449" s="33"/>
      <c r="O449" s="33"/>
      <c r="P449" s="55"/>
    </row>
    <row r="450" spans="2:16">
      <c r="B450" s="33"/>
      <c r="C450" s="33"/>
      <c r="D450" s="33"/>
      <c r="E450" s="33"/>
      <c r="F450" s="33"/>
      <c r="G450" s="33"/>
      <c r="H450" s="42"/>
      <c r="I450" s="33"/>
      <c r="J450" s="33"/>
      <c r="K450" s="42"/>
      <c r="L450" s="33"/>
      <c r="M450" s="55"/>
      <c r="N450" s="33"/>
      <c r="O450" s="33"/>
      <c r="P450" s="55"/>
    </row>
    <row r="451" spans="2:16">
      <c r="B451" s="33"/>
      <c r="C451" s="33"/>
      <c r="D451" s="33"/>
      <c r="E451" s="33"/>
      <c r="F451" s="33"/>
      <c r="G451" s="33"/>
      <c r="H451" s="42"/>
      <c r="I451" s="33"/>
      <c r="J451" s="33"/>
      <c r="K451" s="42"/>
      <c r="L451" s="33"/>
      <c r="M451" s="55"/>
      <c r="N451" s="33"/>
      <c r="O451" s="33"/>
      <c r="P451" s="55"/>
    </row>
    <row r="452" spans="2:16">
      <c r="B452" s="33"/>
      <c r="C452" s="33"/>
      <c r="D452" s="33"/>
      <c r="E452" s="33"/>
      <c r="F452" s="33"/>
      <c r="G452" s="33"/>
      <c r="H452" s="42"/>
      <c r="I452" s="33"/>
      <c r="J452" s="33"/>
      <c r="K452" s="42"/>
      <c r="L452" s="33"/>
      <c r="M452" s="55"/>
      <c r="N452" s="33"/>
      <c r="O452" s="33"/>
      <c r="P452" s="55"/>
    </row>
    <row r="453" spans="2:16">
      <c r="B453" s="33"/>
      <c r="C453" s="33"/>
      <c r="D453" s="33"/>
      <c r="E453" s="33"/>
      <c r="F453" s="33"/>
      <c r="G453" s="33"/>
      <c r="H453" s="42"/>
      <c r="I453" s="33"/>
      <c r="J453" s="33"/>
      <c r="K453" s="42"/>
      <c r="L453" s="33"/>
      <c r="M453" s="55"/>
      <c r="N453" s="33"/>
      <c r="O453" s="33"/>
      <c r="P453" s="55"/>
    </row>
    <row r="454" spans="2:16">
      <c r="B454" s="33"/>
      <c r="C454" s="33"/>
      <c r="D454" s="33"/>
      <c r="E454" s="33"/>
      <c r="F454" s="33"/>
      <c r="G454" s="33"/>
      <c r="H454" s="42"/>
      <c r="I454" s="33"/>
      <c r="J454" s="33"/>
      <c r="K454" s="42"/>
      <c r="L454" s="33"/>
      <c r="M454" s="55"/>
      <c r="N454" s="33"/>
      <c r="O454" s="33"/>
      <c r="P454" s="55"/>
    </row>
    <row r="455" spans="2:16">
      <c r="B455" s="33"/>
      <c r="C455" s="33"/>
      <c r="D455" s="33"/>
      <c r="E455" s="33"/>
      <c r="F455" s="33"/>
      <c r="G455" s="33"/>
      <c r="H455" s="42"/>
      <c r="I455" s="33"/>
      <c r="J455" s="33"/>
      <c r="K455" s="42"/>
      <c r="L455" s="33"/>
      <c r="M455" s="55"/>
      <c r="N455" s="33"/>
      <c r="O455" s="33"/>
      <c r="P455" s="55"/>
    </row>
    <row r="456" spans="2:16">
      <c r="B456" s="33"/>
      <c r="C456" s="33"/>
      <c r="D456" s="33"/>
      <c r="E456" s="33"/>
      <c r="F456" s="33"/>
      <c r="G456" s="33"/>
      <c r="H456" s="42"/>
      <c r="I456" s="33"/>
      <c r="J456" s="33"/>
      <c r="K456" s="42"/>
      <c r="L456" s="33"/>
      <c r="M456" s="55"/>
      <c r="N456" s="33"/>
      <c r="O456" s="33"/>
      <c r="P456" s="55"/>
    </row>
    <row r="457" spans="2:16">
      <c r="B457" s="33"/>
      <c r="C457" s="33"/>
      <c r="D457" s="33"/>
      <c r="E457" s="33"/>
      <c r="F457" s="33"/>
      <c r="G457" s="33"/>
      <c r="H457" s="42"/>
      <c r="I457" s="33"/>
      <c r="J457" s="33"/>
      <c r="K457" s="42"/>
      <c r="L457" s="33"/>
      <c r="M457" s="55"/>
      <c r="N457" s="33"/>
      <c r="O457" s="33"/>
      <c r="P457" s="55"/>
    </row>
    <row r="458" spans="2:16">
      <c r="B458" s="33"/>
      <c r="C458" s="33"/>
      <c r="D458" s="33"/>
      <c r="E458" s="33"/>
      <c r="F458" s="33"/>
      <c r="G458" s="33"/>
      <c r="H458" s="42"/>
      <c r="I458" s="33"/>
      <c r="J458" s="33"/>
      <c r="K458" s="42"/>
      <c r="L458" s="33"/>
      <c r="M458" s="55"/>
      <c r="N458" s="33"/>
      <c r="O458" s="33"/>
      <c r="P458" s="55"/>
    </row>
    <row r="459" spans="2:16">
      <c r="B459" s="33"/>
      <c r="C459" s="33"/>
      <c r="D459" s="33"/>
      <c r="E459" s="33"/>
      <c r="F459" s="33"/>
      <c r="G459" s="33"/>
      <c r="H459" s="42"/>
      <c r="I459" s="33"/>
      <c r="J459" s="33"/>
      <c r="K459" s="42"/>
      <c r="L459" s="33"/>
      <c r="M459" s="55"/>
      <c r="N459" s="33"/>
      <c r="O459" s="33"/>
      <c r="P459" s="55"/>
    </row>
    <row r="460" spans="2:16">
      <c r="B460" s="33"/>
      <c r="C460" s="33"/>
      <c r="D460" s="33"/>
      <c r="E460" s="33"/>
      <c r="F460" s="33"/>
      <c r="G460" s="33"/>
      <c r="H460" s="42"/>
      <c r="I460" s="33"/>
      <c r="J460" s="33"/>
      <c r="K460" s="42"/>
      <c r="L460" s="33"/>
      <c r="M460" s="55"/>
      <c r="N460" s="33"/>
      <c r="O460" s="33"/>
      <c r="P460" s="55"/>
    </row>
    <row r="461" spans="2:16">
      <c r="B461" s="33"/>
      <c r="C461" s="33"/>
      <c r="D461" s="33"/>
      <c r="E461" s="33"/>
      <c r="F461" s="33"/>
      <c r="G461" s="33"/>
      <c r="H461" s="42"/>
      <c r="I461" s="33"/>
      <c r="J461" s="33"/>
      <c r="K461" s="42"/>
      <c r="L461" s="33"/>
      <c r="M461" s="55"/>
      <c r="N461" s="33"/>
      <c r="O461" s="33"/>
      <c r="P461" s="55"/>
    </row>
    <row r="462" spans="2:16">
      <c r="B462" s="33"/>
      <c r="C462" s="33"/>
      <c r="D462" s="33"/>
      <c r="E462" s="33"/>
      <c r="F462" s="33"/>
      <c r="G462" s="33"/>
      <c r="H462" s="42"/>
      <c r="I462" s="33"/>
      <c r="J462" s="33"/>
      <c r="K462" s="42"/>
      <c r="L462" s="33"/>
      <c r="M462" s="55"/>
      <c r="N462" s="33"/>
      <c r="O462" s="33"/>
      <c r="P462" s="55"/>
    </row>
    <row r="463" spans="2:16">
      <c r="B463" s="33"/>
      <c r="C463" s="33"/>
      <c r="D463" s="33"/>
      <c r="E463" s="33"/>
      <c r="F463" s="33"/>
      <c r="G463" s="33"/>
      <c r="H463" s="42"/>
      <c r="I463" s="33"/>
      <c r="J463" s="33"/>
      <c r="K463" s="42"/>
      <c r="L463" s="33"/>
      <c r="M463" s="55"/>
      <c r="N463" s="33"/>
      <c r="O463" s="33"/>
      <c r="P463" s="55"/>
    </row>
    <row r="464" spans="2:16">
      <c r="B464" s="33"/>
      <c r="C464" s="33"/>
      <c r="D464" s="33"/>
      <c r="E464" s="33"/>
      <c r="F464" s="33"/>
      <c r="G464" s="33"/>
      <c r="H464" s="42"/>
      <c r="I464" s="33"/>
      <c r="J464" s="33"/>
      <c r="K464" s="42"/>
      <c r="L464" s="33"/>
      <c r="M464" s="55"/>
      <c r="N464" s="33"/>
      <c r="O464" s="33"/>
      <c r="P464" s="55"/>
    </row>
    <row r="465" spans="2:16">
      <c r="B465" s="33"/>
      <c r="C465" s="33"/>
      <c r="D465" s="33"/>
      <c r="E465" s="33"/>
      <c r="F465" s="33"/>
      <c r="G465" s="33"/>
      <c r="H465" s="42"/>
      <c r="I465" s="33"/>
      <c r="J465" s="33"/>
      <c r="K465" s="42"/>
      <c r="L465" s="33"/>
      <c r="M465" s="55"/>
      <c r="N465" s="33"/>
      <c r="O465" s="33"/>
      <c r="P465" s="55"/>
    </row>
    <row r="466" spans="2:16">
      <c r="B466" s="33"/>
      <c r="C466" s="33"/>
      <c r="D466" s="33"/>
      <c r="E466" s="33"/>
      <c r="F466" s="33"/>
      <c r="G466" s="33"/>
      <c r="H466" s="42"/>
      <c r="I466" s="33"/>
      <c r="J466" s="33"/>
      <c r="K466" s="42"/>
      <c r="L466" s="33"/>
      <c r="M466" s="55"/>
      <c r="N466" s="33"/>
      <c r="O466" s="33"/>
      <c r="P466" s="55"/>
    </row>
    <row r="467" spans="2:16">
      <c r="B467" s="33"/>
      <c r="C467" s="33"/>
      <c r="D467" s="33"/>
      <c r="E467" s="33"/>
      <c r="F467" s="33"/>
      <c r="G467" s="33"/>
      <c r="H467" s="42"/>
      <c r="I467" s="33"/>
      <c r="J467" s="33"/>
      <c r="K467" s="42"/>
      <c r="L467" s="33"/>
      <c r="M467" s="55"/>
      <c r="N467" s="33"/>
      <c r="O467" s="33"/>
      <c r="P467" s="55"/>
    </row>
    <row r="468" spans="2:16">
      <c r="B468" s="33"/>
      <c r="C468" s="33"/>
      <c r="D468" s="33"/>
      <c r="E468" s="33"/>
      <c r="F468" s="33"/>
      <c r="G468" s="33"/>
      <c r="H468" s="42"/>
      <c r="I468" s="33"/>
      <c r="J468" s="33"/>
      <c r="K468" s="42"/>
      <c r="L468" s="33"/>
      <c r="M468" s="55"/>
      <c r="N468" s="33"/>
      <c r="O468" s="33"/>
      <c r="P468" s="55"/>
    </row>
    <row r="469" spans="2:16">
      <c r="B469" s="33"/>
      <c r="C469" s="33"/>
      <c r="D469" s="33"/>
      <c r="E469" s="33"/>
      <c r="F469" s="33"/>
      <c r="G469" s="33"/>
      <c r="H469" s="42"/>
      <c r="I469" s="33"/>
      <c r="J469" s="33"/>
      <c r="K469" s="42"/>
      <c r="L469" s="33"/>
      <c r="M469" s="55"/>
      <c r="N469" s="33"/>
      <c r="O469" s="33"/>
      <c r="P469" s="55"/>
    </row>
    <row r="470" spans="2:16">
      <c r="B470" s="33"/>
      <c r="C470" s="33"/>
      <c r="D470" s="33"/>
      <c r="E470" s="33"/>
      <c r="F470" s="33"/>
      <c r="G470" s="33"/>
      <c r="H470" s="42"/>
      <c r="I470" s="33"/>
      <c r="J470" s="33"/>
      <c r="K470" s="42"/>
      <c r="L470" s="33"/>
      <c r="M470" s="55"/>
      <c r="N470" s="33"/>
      <c r="O470" s="33"/>
      <c r="P470" s="55"/>
    </row>
    <row r="471" spans="2:16">
      <c r="B471" s="33"/>
      <c r="C471" s="33"/>
      <c r="D471" s="33"/>
      <c r="E471" s="33"/>
      <c r="F471" s="33"/>
      <c r="G471" s="33"/>
      <c r="H471" s="42"/>
      <c r="I471" s="33"/>
      <c r="J471" s="33"/>
      <c r="K471" s="42"/>
      <c r="L471" s="33"/>
      <c r="M471" s="55"/>
      <c r="N471" s="33"/>
      <c r="O471" s="33"/>
      <c r="P471" s="55"/>
    </row>
    <row r="472" spans="2:16">
      <c r="B472" s="33"/>
      <c r="C472" s="33"/>
      <c r="D472" s="33"/>
      <c r="E472" s="33"/>
      <c r="F472" s="33"/>
      <c r="G472" s="33"/>
      <c r="H472" s="42"/>
      <c r="I472" s="33"/>
      <c r="J472" s="33"/>
      <c r="K472" s="42"/>
      <c r="L472" s="33"/>
      <c r="M472" s="55"/>
      <c r="N472" s="33"/>
      <c r="O472" s="33"/>
      <c r="P472" s="55"/>
    </row>
    <row r="473" spans="2:16">
      <c r="B473" s="33"/>
      <c r="C473" s="33"/>
      <c r="D473" s="33"/>
      <c r="E473" s="33"/>
      <c r="F473" s="33"/>
      <c r="G473" s="33"/>
      <c r="H473" s="42"/>
      <c r="I473" s="33"/>
      <c r="J473" s="33"/>
      <c r="K473" s="42"/>
      <c r="L473" s="33"/>
      <c r="M473" s="55"/>
      <c r="N473" s="33"/>
      <c r="O473" s="33"/>
      <c r="P473" s="55"/>
    </row>
    <row r="474" spans="2:16">
      <c r="B474" s="33"/>
      <c r="C474" s="33"/>
      <c r="D474" s="33"/>
      <c r="E474" s="33"/>
      <c r="F474" s="33"/>
      <c r="G474" s="33"/>
      <c r="H474" s="42"/>
      <c r="I474" s="33"/>
      <c r="J474" s="33"/>
      <c r="K474" s="42"/>
      <c r="L474" s="33"/>
      <c r="M474" s="55"/>
      <c r="N474" s="33"/>
      <c r="O474" s="33"/>
      <c r="P474" s="55"/>
    </row>
    <row r="475" spans="2:16">
      <c r="B475" s="33"/>
      <c r="C475" s="33"/>
      <c r="D475" s="33"/>
      <c r="E475" s="33"/>
      <c r="F475" s="33"/>
      <c r="G475" s="33"/>
      <c r="H475" s="42"/>
      <c r="I475" s="33"/>
      <c r="J475" s="33"/>
      <c r="K475" s="42"/>
      <c r="L475" s="33"/>
      <c r="M475" s="55"/>
      <c r="N475" s="33"/>
      <c r="O475" s="33"/>
      <c r="P475" s="55"/>
    </row>
    <row r="476" spans="2:16">
      <c r="B476" s="33"/>
      <c r="C476" s="33"/>
      <c r="D476" s="33"/>
      <c r="E476" s="33"/>
      <c r="F476" s="33"/>
      <c r="G476" s="33"/>
      <c r="H476" s="42"/>
      <c r="I476" s="33"/>
      <c r="J476" s="33"/>
      <c r="K476" s="42"/>
      <c r="L476" s="33"/>
      <c r="M476" s="55"/>
      <c r="N476" s="33"/>
      <c r="O476" s="33"/>
      <c r="P476" s="55"/>
    </row>
    <row r="477" spans="2:16">
      <c r="B477" s="33"/>
      <c r="C477" s="33"/>
      <c r="D477" s="33"/>
      <c r="E477" s="33"/>
      <c r="F477" s="33"/>
      <c r="G477" s="33"/>
      <c r="H477" s="42"/>
      <c r="I477" s="33"/>
      <c r="J477" s="33"/>
      <c r="K477" s="42"/>
      <c r="L477" s="33"/>
      <c r="M477" s="55"/>
      <c r="N477" s="33"/>
      <c r="O477" s="33"/>
      <c r="P477" s="55"/>
    </row>
    <row r="478" spans="2:16">
      <c r="B478" s="33"/>
      <c r="C478" s="33"/>
      <c r="D478" s="33"/>
      <c r="E478" s="33"/>
      <c r="F478" s="33"/>
      <c r="G478" s="33"/>
      <c r="H478" s="42"/>
      <c r="I478" s="33"/>
      <c r="J478" s="33"/>
      <c r="K478" s="42"/>
      <c r="L478" s="33"/>
      <c r="M478" s="55"/>
      <c r="N478" s="33"/>
      <c r="O478" s="33"/>
      <c r="P478" s="55"/>
    </row>
    <row r="479" spans="2:16">
      <c r="B479" s="33"/>
      <c r="C479" s="33"/>
      <c r="D479" s="33"/>
      <c r="E479" s="33"/>
      <c r="F479" s="33"/>
      <c r="G479" s="33"/>
      <c r="H479" s="42"/>
      <c r="I479" s="33"/>
      <c r="J479" s="33"/>
      <c r="K479" s="42"/>
      <c r="L479" s="33"/>
      <c r="M479" s="55"/>
      <c r="N479" s="33"/>
      <c r="O479" s="33"/>
      <c r="P479" s="55"/>
    </row>
    <row r="480" spans="2:16">
      <c r="B480" s="33"/>
      <c r="C480" s="33"/>
      <c r="D480" s="33"/>
      <c r="E480" s="33"/>
      <c r="F480" s="33"/>
      <c r="G480" s="33"/>
      <c r="H480" s="42"/>
      <c r="I480" s="33"/>
      <c r="J480" s="33"/>
      <c r="K480" s="42"/>
      <c r="L480" s="33"/>
      <c r="M480" s="55"/>
      <c r="N480" s="33"/>
      <c r="O480" s="33"/>
      <c r="P480" s="55"/>
    </row>
    <row r="481" spans="2:16">
      <c r="B481" s="33"/>
      <c r="C481" s="33"/>
      <c r="D481" s="33"/>
      <c r="E481" s="33"/>
      <c r="F481" s="33"/>
      <c r="G481" s="33"/>
      <c r="H481" s="42"/>
      <c r="I481" s="33"/>
      <c r="J481" s="33"/>
      <c r="K481" s="42"/>
      <c r="L481" s="33"/>
      <c r="M481" s="55"/>
      <c r="N481" s="33"/>
      <c r="O481" s="33"/>
      <c r="P481" s="55"/>
    </row>
    <row r="482" spans="2:16">
      <c r="B482" s="33"/>
      <c r="C482" s="33"/>
      <c r="D482" s="33"/>
      <c r="E482" s="33"/>
      <c r="F482" s="33"/>
      <c r="G482" s="33"/>
      <c r="H482" s="42"/>
      <c r="I482" s="33"/>
      <c r="J482" s="33"/>
      <c r="K482" s="42"/>
      <c r="L482" s="33"/>
      <c r="M482" s="55"/>
      <c r="N482" s="33"/>
      <c r="O482" s="33"/>
      <c r="P482" s="55"/>
    </row>
    <row r="483" spans="2:16">
      <c r="B483" s="33"/>
      <c r="C483" s="33"/>
      <c r="D483" s="33"/>
      <c r="E483" s="33"/>
      <c r="F483" s="33"/>
      <c r="G483" s="33"/>
      <c r="H483" s="42"/>
      <c r="I483" s="33"/>
      <c r="J483" s="33"/>
      <c r="K483" s="42"/>
      <c r="L483" s="33"/>
      <c r="M483" s="55"/>
      <c r="N483" s="33"/>
      <c r="O483" s="33"/>
      <c r="P483" s="55"/>
    </row>
    <row r="484" spans="2:16">
      <c r="B484" s="33"/>
      <c r="C484" s="33"/>
      <c r="D484" s="33"/>
      <c r="E484" s="33"/>
      <c r="F484" s="33"/>
      <c r="G484" s="33"/>
      <c r="H484" s="42"/>
      <c r="I484" s="33"/>
      <c r="J484" s="33"/>
      <c r="K484" s="42"/>
      <c r="L484" s="33"/>
      <c r="M484" s="55"/>
      <c r="N484" s="33"/>
      <c r="O484" s="33"/>
      <c r="P484" s="55"/>
    </row>
    <row r="485" spans="2:16">
      <c r="B485" s="33"/>
      <c r="C485" s="33"/>
      <c r="D485" s="33"/>
      <c r="E485" s="33"/>
      <c r="F485" s="33"/>
      <c r="G485" s="33"/>
      <c r="H485" s="42"/>
      <c r="I485" s="33"/>
      <c r="J485" s="33"/>
      <c r="K485" s="42"/>
      <c r="L485" s="33"/>
      <c r="M485" s="55"/>
      <c r="N485" s="33"/>
      <c r="O485" s="33"/>
      <c r="P485" s="55"/>
    </row>
    <row r="486" spans="2:16">
      <c r="B486" s="33"/>
      <c r="C486" s="33"/>
      <c r="D486" s="33"/>
      <c r="E486" s="33"/>
      <c r="F486" s="33"/>
      <c r="G486" s="33"/>
      <c r="H486" s="42"/>
      <c r="I486" s="33"/>
      <c r="J486" s="33"/>
      <c r="K486" s="42"/>
      <c r="L486" s="33"/>
      <c r="M486" s="55"/>
      <c r="N486" s="33"/>
      <c r="O486" s="33"/>
      <c r="P486" s="55"/>
    </row>
    <row r="487" spans="2:16">
      <c r="B487" s="33"/>
      <c r="C487" s="33"/>
      <c r="D487" s="33"/>
      <c r="E487" s="33"/>
      <c r="F487" s="33"/>
      <c r="G487" s="33"/>
      <c r="H487" s="42"/>
      <c r="I487" s="33"/>
      <c r="J487" s="33"/>
      <c r="K487" s="42"/>
      <c r="L487" s="33"/>
      <c r="M487" s="55"/>
      <c r="N487" s="33"/>
      <c r="O487" s="33"/>
      <c r="P487" s="55"/>
    </row>
    <row r="488" spans="2:16">
      <c r="B488" s="33"/>
      <c r="C488" s="33"/>
      <c r="D488" s="33"/>
      <c r="E488" s="33"/>
      <c r="F488" s="33"/>
      <c r="G488" s="33"/>
      <c r="H488" s="42"/>
      <c r="I488" s="33"/>
      <c r="J488" s="33"/>
      <c r="K488" s="42"/>
      <c r="L488" s="33"/>
      <c r="M488" s="55"/>
      <c r="N488" s="33"/>
      <c r="O488" s="33"/>
      <c r="P488" s="55"/>
    </row>
    <row r="489" spans="2:16">
      <c r="B489" s="33"/>
      <c r="C489" s="33"/>
      <c r="D489" s="33"/>
      <c r="E489" s="33"/>
      <c r="F489" s="33"/>
      <c r="G489" s="33"/>
      <c r="H489" s="42"/>
      <c r="I489" s="33"/>
      <c r="J489" s="33"/>
      <c r="K489" s="42"/>
      <c r="L489" s="33"/>
      <c r="M489" s="55"/>
      <c r="N489" s="33"/>
      <c r="O489" s="33"/>
      <c r="P489" s="55"/>
    </row>
    <row r="490" spans="2:16">
      <c r="B490" s="33"/>
      <c r="C490" s="33"/>
      <c r="D490" s="33"/>
      <c r="E490" s="33"/>
      <c r="F490" s="33"/>
      <c r="G490" s="33"/>
      <c r="H490" s="42"/>
      <c r="I490" s="33"/>
      <c r="J490" s="33"/>
      <c r="K490" s="42"/>
      <c r="L490" s="33"/>
      <c r="M490" s="55"/>
      <c r="N490" s="33"/>
      <c r="O490" s="33"/>
      <c r="P490" s="55"/>
    </row>
    <row r="491" spans="2:16">
      <c r="B491" s="33"/>
      <c r="C491" s="33"/>
      <c r="D491" s="33"/>
      <c r="E491" s="33"/>
      <c r="F491" s="33"/>
      <c r="G491" s="33"/>
      <c r="H491" s="42"/>
      <c r="I491" s="33"/>
      <c r="J491" s="33"/>
      <c r="K491" s="42"/>
      <c r="L491" s="33"/>
      <c r="M491" s="55"/>
      <c r="N491" s="33"/>
      <c r="O491" s="33"/>
      <c r="P491" s="55"/>
    </row>
    <row r="492" spans="2:16">
      <c r="B492" s="33"/>
      <c r="C492" s="33"/>
      <c r="D492" s="33"/>
      <c r="E492" s="33"/>
      <c r="F492" s="33"/>
      <c r="G492" s="33"/>
      <c r="H492" s="42"/>
      <c r="I492" s="33"/>
      <c r="J492" s="33"/>
      <c r="K492" s="42"/>
      <c r="L492" s="33"/>
      <c r="M492" s="55"/>
      <c r="N492" s="33"/>
      <c r="O492" s="33"/>
      <c r="P492" s="55"/>
    </row>
    <row r="493" spans="2:16">
      <c r="B493" s="33"/>
      <c r="C493" s="33"/>
      <c r="D493" s="33"/>
      <c r="E493" s="33"/>
      <c r="F493" s="33"/>
      <c r="G493" s="33"/>
      <c r="H493" s="42"/>
      <c r="I493" s="33"/>
      <c r="J493" s="33"/>
      <c r="K493" s="42"/>
      <c r="L493" s="33"/>
      <c r="M493" s="55"/>
      <c r="N493" s="33"/>
      <c r="O493" s="33"/>
      <c r="P493" s="55"/>
    </row>
    <row r="494" spans="2:16">
      <c r="B494" s="33"/>
      <c r="C494" s="33"/>
      <c r="D494" s="33"/>
      <c r="E494" s="33"/>
      <c r="F494" s="33"/>
      <c r="G494" s="33"/>
      <c r="H494" s="42"/>
      <c r="I494" s="33"/>
      <c r="J494" s="33"/>
      <c r="K494" s="42"/>
      <c r="L494" s="33"/>
      <c r="M494" s="55"/>
      <c r="N494" s="33"/>
      <c r="O494" s="33"/>
      <c r="P494" s="55"/>
    </row>
    <row r="495" spans="2:16">
      <c r="B495" s="33"/>
      <c r="C495" s="33"/>
      <c r="D495" s="33"/>
      <c r="E495" s="33"/>
      <c r="F495" s="33"/>
      <c r="G495" s="33"/>
      <c r="H495" s="42"/>
      <c r="I495" s="33"/>
      <c r="J495" s="33"/>
      <c r="K495" s="42"/>
      <c r="L495" s="33"/>
      <c r="M495" s="55"/>
      <c r="N495" s="33"/>
      <c r="O495" s="33"/>
      <c r="P495" s="55"/>
    </row>
    <row r="496" spans="2:16">
      <c r="B496" s="33"/>
      <c r="C496" s="33"/>
      <c r="D496" s="33"/>
      <c r="E496" s="33"/>
      <c r="F496" s="33"/>
      <c r="G496" s="33"/>
      <c r="H496" s="42"/>
      <c r="I496" s="33"/>
      <c r="J496" s="33"/>
      <c r="K496" s="42"/>
      <c r="L496" s="33"/>
      <c r="M496" s="55"/>
      <c r="N496" s="33"/>
      <c r="O496" s="33"/>
      <c r="P496" s="55"/>
    </row>
    <row r="497" spans="2:16">
      <c r="B497" s="33"/>
      <c r="C497" s="33"/>
      <c r="D497" s="33"/>
      <c r="E497" s="33"/>
      <c r="F497" s="33"/>
      <c r="G497" s="33"/>
      <c r="H497" s="42"/>
      <c r="I497" s="33"/>
      <c r="J497" s="33"/>
      <c r="K497" s="42"/>
      <c r="L497" s="33"/>
      <c r="M497" s="55"/>
      <c r="N497" s="33"/>
      <c r="O497" s="33"/>
      <c r="P497" s="55"/>
    </row>
    <row r="498" spans="2:16">
      <c r="B498" s="33"/>
      <c r="C498" s="33"/>
      <c r="D498" s="33"/>
      <c r="E498" s="33"/>
      <c r="F498" s="33"/>
      <c r="G498" s="33"/>
      <c r="H498" s="42"/>
      <c r="I498" s="33"/>
      <c r="J498" s="33"/>
      <c r="K498" s="42"/>
      <c r="L498" s="33"/>
      <c r="M498" s="55"/>
      <c r="N498" s="33"/>
      <c r="O498" s="33"/>
      <c r="P498" s="55"/>
    </row>
    <row r="499" spans="2:16">
      <c r="B499" s="33"/>
      <c r="C499" s="33"/>
      <c r="D499" s="33"/>
      <c r="E499" s="33"/>
      <c r="F499" s="33"/>
      <c r="G499" s="33"/>
      <c r="H499" s="42"/>
      <c r="I499" s="33"/>
      <c r="J499" s="33"/>
      <c r="K499" s="42"/>
      <c r="L499" s="33"/>
      <c r="M499" s="55"/>
      <c r="N499" s="33"/>
      <c r="O499" s="33"/>
      <c r="P499" s="55"/>
    </row>
    <row r="500" spans="2:16">
      <c r="B500" s="33"/>
      <c r="C500" s="33"/>
      <c r="D500" s="33"/>
      <c r="E500" s="33"/>
      <c r="F500" s="33"/>
      <c r="G500" s="33"/>
      <c r="H500" s="42"/>
      <c r="I500" s="33"/>
      <c r="J500" s="33"/>
      <c r="K500" s="42"/>
      <c r="L500" s="33"/>
      <c r="M500" s="55"/>
      <c r="N500" s="33"/>
      <c r="O500" s="33"/>
      <c r="P500" s="55"/>
    </row>
    <row r="501" spans="2:16">
      <c r="B501" s="33"/>
      <c r="C501" s="33"/>
      <c r="D501" s="33"/>
      <c r="E501" s="33"/>
      <c r="F501" s="33"/>
      <c r="G501" s="33"/>
      <c r="H501" s="42"/>
      <c r="I501" s="33"/>
      <c r="J501" s="33"/>
      <c r="K501" s="42"/>
      <c r="L501" s="33"/>
      <c r="M501" s="55"/>
      <c r="N501" s="33"/>
      <c r="O501" s="33"/>
      <c r="P501" s="55"/>
    </row>
    <row r="502" spans="2:16">
      <c r="B502" s="33"/>
      <c r="C502" s="33"/>
      <c r="D502" s="33"/>
      <c r="E502" s="33"/>
      <c r="F502" s="33"/>
      <c r="G502" s="33"/>
      <c r="H502" s="42"/>
      <c r="I502" s="33"/>
      <c r="J502" s="33"/>
      <c r="K502" s="42"/>
      <c r="L502" s="33"/>
      <c r="M502" s="55"/>
      <c r="N502" s="33"/>
      <c r="O502" s="33"/>
      <c r="P502" s="55"/>
    </row>
    <row r="503" spans="2:16">
      <c r="B503" s="33"/>
      <c r="C503" s="33"/>
      <c r="D503" s="33"/>
      <c r="E503" s="33"/>
      <c r="F503" s="33"/>
      <c r="G503" s="33"/>
      <c r="H503" s="42"/>
      <c r="I503" s="33"/>
      <c r="J503" s="33"/>
      <c r="K503" s="42"/>
      <c r="L503" s="33"/>
      <c r="M503" s="55"/>
      <c r="N503" s="33"/>
      <c r="O503" s="33"/>
      <c r="P503" s="55"/>
    </row>
    <row r="504" spans="2:16">
      <c r="B504" s="33"/>
      <c r="C504" s="33"/>
      <c r="D504" s="33"/>
      <c r="E504" s="33"/>
      <c r="F504" s="33"/>
      <c r="G504" s="33"/>
      <c r="H504" s="42"/>
      <c r="I504" s="33"/>
      <c r="J504" s="33"/>
      <c r="K504" s="42"/>
      <c r="L504" s="33"/>
      <c r="M504" s="55"/>
      <c r="N504" s="33"/>
      <c r="O504" s="33"/>
      <c r="P504" s="55"/>
    </row>
    <row r="505" spans="2:16">
      <c r="B505" s="33"/>
      <c r="C505" s="33"/>
      <c r="D505" s="33"/>
      <c r="E505" s="33"/>
      <c r="F505" s="33"/>
      <c r="G505" s="33"/>
      <c r="H505" s="42"/>
      <c r="I505" s="33"/>
      <c r="J505" s="33"/>
      <c r="K505" s="42"/>
      <c r="L505" s="33"/>
      <c r="M505" s="55"/>
      <c r="N505" s="33"/>
      <c r="O505" s="33"/>
      <c r="P505" s="55"/>
    </row>
    <row r="506" spans="2:16">
      <c r="B506" s="33"/>
      <c r="C506" s="33"/>
      <c r="D506" s="33"/>
      <c r="E506" s="33"/>
      <c r="F506" s="33"/>
      <c r="G506" s="33"/>
      <c r="H506" s="42"/>
      <c r="I506" s="33"/>
      <c r="J506" s="33"/>
      <c r="K506" s="42"/>
      <c r="L506" s="33"/>
      <c r="M506" s="55"/>
      <c r="N506" s="33"/>
      <c r="O506" s="33"/>
      <c r="P506" s="55"/>
    </row>
    <row r="507" spans="2:16">
      <c r="B507" s="33"/>
      <c r="C507" s="33"/>
      <c r="D507" s="33"/>
      <c r="E507" s="33"/>
      <c r="F507" s="33"/>
      <c r="G507" s="33"/>
      <c r="H507" s="42"/>
      <c r="I507" s="33"/>
      <c r="J507" s="33"/>
      <c r="K507" s="42"/>
      <c r="L507" s="33"/>
      <c r="M507" s="55"/>
      <c r="N507" s="33"/>
      <c r="O507" s="33"/>
      <c r="P507" s="55"/>
    </row>
    <row r="508" spans="2:16">
      <c r="B508" s="33"/>
      <c r="C508" s="33"/>
      <c r="D508" s="33"/>
      <c r="E508" s="33"/>
      <c r="F508" s="33"/>
      <c r="G508" s="33"/>
      <c r="H508" s="42"/>
      <c r="I508" s="33"/>
      <c r="J508" s="33"/>
      <c r="K508" s="42"/>
      <c r="L508" s="33"/>
      <c r="M508" s="55"/>
      <c r="N508" s="33"/>
      <c r="O508" s="33"/>
      <c r="P508" s="55"/>
    </row>
    <row r="509" spans="2:16">
      <c r="B509" s="33"/>
      <c r="C509" s="33"/>
      <c r="D509" s="33"/>
      <c r="E509" s="33"/>
      <c r="F509" s="33"/>
      <c r="G509" s="33"/>
      <c r="H509" s="42"/>
      <c r="I509" s="33"/>
      <c r="J509" s="33"/>
      <c r="K509" s="42"/>
      <c r="L509" s="33"/>
      <c r="M509" s="55"/>
      <c r="N509" s="33"/>
      <c r="O509" s="33"/>
      <c r="P509" s="55"/>
    </row>
    <row r="510" spans="2:16">
      <c r="B510" s="33"/>
      <c r="C510" s="33"/>
      <c r="D510" s="33"/>
      <c r="E510" s="33"/>
      <c r="F510" s="33"/>
      <c r="G510" s="33"/>
      <c r="H510" s="42"/>
      <c r="I510" s="33"/>
      <c r="J510" s="33"/>
      <c r="K510" s="42"/>
      <c r="L510" s="33"/>
      <c r="M510" s="55"/>
      <c r="N510" s="33"/>
      <c r="O510" s="33"/>
      <c r="P510" s="55"/>
    </row>
    <row r="511" spans="2:16">
      <c r="B511" s="33"/>
      <c r="C511" s="33"/>
      <c r="D511" s="33"/>
      <c r="E511" s="33"/>
      <c r="F511" s="33"/>
      <c r="G511" s="33"/>
      <c r="H511" s="42"/>
      <c r="I511" s="33"/>
      <c r="J511" s="33"/>
      <c r="K511" s="42"/>
      <c r="L511" s="33"/>
      <c r="M511" s="55"/>
      <c r="N511" s="33"/>
      <c r="O511" s="33"/>
      <c r="P511" s="55"/>
    </row>
    <row r="512" spans="2:16">
      <c r="B512" s="33"/>
      <c r="C512" s="33"/>
      <c r="D512" s="33"/>
      <c r="E512" s="33"/>
      <c r="F512" s="33"/>
      <c r="G512" s="33"/>
      <c r="H512" s="42"/>
      <c r="I512" s="33"/>
      <c r="J512" s="33"/>
      <c r="K512" s="42"/>
      <c r="L512" s="33"/>
      <c r="M512" s="55"/>
      <c r="N512" s="33"/>
      <c r="O512" s="33"/>
      <c r="P512" s="55"/>
    </row>
    <row r="513" spans="2:16">
      <c r="B513" s="33"/>
      <c r="C513" s="33"/>
      <c r="D513" s="33"/>
      <c r="E513" s="33"/>
      <c r="F513" s="33"/>
      <c r="G513" s="33"/>
      <c r="H513" s="42"/>
      <c r="I513" s="33"/>
      <c r="J513" s="33"/>
      <c r="K513" s="42"/>
      <c r="L513" s="33"/>
      <c r="M513" s="55"/>
      <c r="N513" s="33"/>
      <c r="O513" s="33"/>
      <c r="P513" s="55"/>
    </row>
    <row r="514" spans="2:16">
      <c r="B514" s="33"/>
      <c r="C514" s="33"/>
      <c r="D514" s="33"/>
      <c r="E514" s="33"/>
      <c r="F514" s="33"/>
      <c r="G514" s="33"/>
      <c r="H514" s="42"/>
      <c r="I514" s="33"/>
      <c r="J514" s="33"/>
      <c r="K514" s="42"/>
      <c r="L514" s="33"/>
      <c r="M514" s="55"/>
      <c r="N514" s="33"/>
      <c r="O514" s="33"/>
      <c r="P514" s="55"/>
    </row>
    <row r="515" spans="2:16">
      <c r="B515" s="33"/>
      <c r="C515" s="33"/>
      <c r="D515" s="33"/>
      <c r="E515" s="33"/>
      <c r="F515" s="33"/>
      <c r="G515" s="33"/>
      <c r="H515" s="42"/>
      <c r="I515" s="33"/>
      <c r="J515" s="33"/>
      <c r="K515" s="42"/>
      <c r="L515" s="33"/>
      <c r="M515" s="55"/>
      <c r="N515" s="33"/>
      <c r="O515" s="33"/>
      <c r="P515" s="55"/>
    </row>
    <row r="516" spans="2:16">
      <c r="B516" s="33"/>
      <c r="C516" s="33"/>
      <c r="D516" s="33"/>
      <c r="E516" s="33"/>
      <c r="F516" s="33"/>
      <c r="G516" s="33"/>
      <c r="H516" s="42"/>
      <c r="I516" s="33"/>
      <c r="J516" s="33"/>
      <c r="K516" s="42"/>
      <c r="L516" s="33"/>
      <c r="M516" s="55"/>
      <c r="N516" s="33"/>
      <c r="O516" s="33"/>
      <c r="P516" s="55"/>
    </row>
    <row r="517" spans="2:16">
      <c r="B517" s="33"/>
      <c r="C517" s="33"/>
      <c r="D517" s="33"/>
      <c r="E517" s="33"/>
      <c r="F517" s="33"/>
      <c r="G517" s="33"/>
      <c r="H517" s="42"/>
      <c r="I517" s="33"/>
      <c r="J517" s="33"/>
      <c r="K517" s="42"/>
      <c r="L517" s="33"/>
      <c r="M517" s="55"/>
      <c r="N517" s="33"/>
      <c r="O517" s="33"/>
      <c r="P517" s="55"/>
    </row>
    <row r="518" spans="2:16">
      <c r="B518" s="33"/>
      <c r="C518" s="33"/>
      <c r="D518" s="33"/>
      <c r="E518" s="33"/>
      <c r="F518" s="33"/>
      <c r="G518" s="33"/>
      <c r="H518" s="42"/>
      <c r="I518" s="33"/>
      <c r="J518" s="33"/>
      <c r="K518" s="42"/>
      <c r="L518" s="33"/>
      <c r="M518" s="55"/>
      <c r="N518" s="33"/>
      <c r="O518" s="33"/>
      <c r="P518" s="55"/>
    </row>
    <row r="519" spans="2:16">
      <c r="B519" s="33"/>
      <c r="C519" s="33"/>
      <c r="D519" s="33"/>
      <c r="E519" s="33"/>
      <c r="F519" s="33"/>
      <c r="G519" s="33"/>
      <c r="H519" s="42"/>
      <c r="I519" s="33"/>
      <c r="J519" s="33"/>
      <c r="K519" s="42"/>
      <c r="L519" s="33"/>
      <c r="M519" s="55"/>
      <c r="N519" s="33"/>
      <c r="O519" s="33"/>
      <c r="P519" s="55"/>
    </row>
    <row r="520" spans="2:16">
      <c r="B520" s="33"/>
      <c r="C520" s="33"/>
      <c r="D520" s="33"/>
      <c r="E520" s="33"/>
      <c r="F520" s="33"/>
      <c r="G520" s="33"/>
      <c r="H520" s="42"/>
      <c r="I520" s="33"/>
      <c r="J520" s="33"/>
      <c r="K520" s="42"/>
      <c r="L520" s="33"/>
      <c r="M520" s="55"/>
      <c r="N520" s="33"/>
      <c r="O520" s="33"/>
      <c r="P520" s="55"/>
    </row>
    <row r="521" spans="2:16">
      <c r="B521" s="33"/>
      <c r="C521" s="33"/>
      <c r="D521" s="33"/>
      <c r="E521" s="33"/>
      <c r="F521" s="33"/>
      <c r="G521" s="33"/>
      <c r="H521" s="42"/>
      <c r="I521" s="33"/>
      <c r="J521" s="33"/>
      <c r="K521" s="42"/>
      <c r="L521" s="33"/>
      <c r="M521" s="55"/>
      <c r="N521" s="33"/>
      <c r="O521" s="33"/>
      <c r="P521" s="55"/>
    </row>
    <row r="522" spans="2:16">
      <c r="B522" s="33"/>
      <c r="C522" s="33"/>
      <c r="D522" s="33"/>
      <c r="E522" s="33"/>
      <c r="F522" s="33"/>
      <c r="G522" s="33"/>
      <c r="H522" s="42"/>
      <c r="I522" s="33"/>
      <c r="J522" s="33"/>
      <c r="K522" s="42"/>
      <c r="L522" s="33"/>
      <c r="M522" s="55"/>
      <c r="N522" s="33"/>
      <c r="O522" s="33"/>
      <c r="P522" s="55"/>
    </row>
    <row r="523" spans="2:16">
      <c r="B523" s="33"/>
      <c r="C523" s="33"/>
      <c r="D523" s="33"/>
      <c r="E523" s="33"/>
      <c r="F523" s="33"/>
      <c r="G523" s="33"/>
      <c r="H523" s="42"/>
      <c r="I523" s="33"/>
      <c r="J523" s="33"/>
      <c r="K523" s="42"/>
      <c r="L523" s="33"/>
      <c r="M523" s="55"/>
      <c r="N523" s="33"/>
      <c r="O523" s="33"/>
      <c r="P523" s="55"/>
    </row>
    <row r="524" spans="2:16">
      <c r="B524" s="33"/>
      <c r="C524" s="33"/>
      <c r="D524" s="33"/>
      <c r="E524" s="33"/>
      <c r="F524" s="33"/>
      <c r="G524" s="33"/>
      <c r="H524" s="42"/>
      <c r="I524" s="33"/>
      <c r="J524" s="33"/>
      <c r="K524" s="42"/>
      <c r="L524" s="33"/>
      <c r="M524" s="55"/>
      <c r="N524" s="33"/>
      <c r="O524" s="33"/>
      <c r="P524" s="55"/>
    </row>
    <row r="525" spans="2:16">
      <c r="B525" s="33"/>
      <c r="C525" s="33"/>
      <c r="D525" s="33"/>
      <c r="E525" s="33"/>
      <c r="F525" s="33"/>
      <c r="G525" s="33"/>
      <c r="H525" s="42"/>
      <c r="I525" s="33"/>
      <c r="J525" s="33"/>
      <c r="K525" s="42"/>
      <c r="L525" s="33"/>
      <c r="M525" s="55"/>
      <c r="N525" s="33"/>
      <c r="O525" s="33"/>
      <c r="P525" s="55"/>
    </row>
    <row r="526" spans="2:16">
      <c r="B526" s="33"/>
      <c r="C526" s="33"/>
      <c r="D526" s="33"/>
      <c r="E526" s="33"/>
      <c r="F526" s="33"/>
      <c r="G526" s="33"/>
      <c r="H526" s="42"/>
      <c r="I526" s="33"/>
      <c r="J526" s="33"/>
      <c r="K526" s="42"/>
      <c r="L526" s="33"/>
      <c r="M526" s="55"/>
      <c r="N526" s="33"/>
      <c r="O526" s="33"/>
      <c r="P526" s="55"/>
    </row>
    <row r="527" spans="2:16">
      <c r="B527" s="33"/>
      <c r="C527" s="33"/>
      <c r="D527" s="33"/>
      <c r="E527" s="33"/>
      <c r="F527" s="33"/>
      <c r="G527" s="33"/>
      <c r="H527" s="42"/>
      <c r="I527" s="33"/>
      <c r="J527" s="33"/>
      <c r="K527" s="42"/>
      <c r="L527" s="33"/>
      <c r="M527" s="55"/>
      <c r="N527" s="33"/>
      <c r="O527" s="33"/>
      <c r="P527" s="55"/>
    </row>
    <row r="528" spans="2:16">
      <c r="B528" s="33"/>
      <c r="C528" s="33"/>
      <c r="D528" s="33"/>
      <c r="E528" s="33"/>
      <c r="F528" s="33"/>
      <c r="G528" s="33"/>
      <c r="H528" s="42"/>
      <c r="I528" s="33"/>
      <c r="J528" s="33"/>
      <c r="K528" s="42"/>
      <c r="L528" s="33"/>
      <c r="M528" s="55"/>
      <c r="N528" s="33"/>
      <c r="O528" s="33"/>
      <c r="P528" s="55"/>
    </row>
    <row r="529" spans="2:16">
      <c r="B529" s="33"/>
      <c r="C529" s="33"/>
      <c r="D529" s="33"/>
      <c r="E529" s="33"/>
      <c r="F529" s="33"/>
      <c r="G529" s="33"/>
      <c r="H529" s="42"/>
      <c r="I529" s="33"/>
      <c r="J529" s="33"/>
      <c r="K529" s="42"/>
      <c r="L529" s="33"/>
      <c r="M529" s="55"/>
      <c r="N529" s="33"/>
      <c r="O529" s="33"/>
      <c r="P529" s="55"/>
    </row>
    <row r="530" spans="2:16">
      <c r="B530" s="33"/>
      <c r="C530" s="33"/>
      <c r="D530" s="33"/>
      <c r="E530" s="33"/>
      <c r="F530" s="33"/>
      <c r="G530" s="33"/>
      <c r="H530" s="42"/>
      <c r="I530" s="33"/>
      <c r="J530" s="33"/>
      <c r="K530" s="42"/>
      <c r="L530" s="33"/>
      <c r="M530" s="55"/>
      <c r="N530" s="33"/>
      <c r="O530" s="33"/>
      <c r="P530" s="55"/>
    </row>
    <row r="531" spans="2:16">
      <c r="B531" s="33"/>
      <c r="C531" s="33"/>
      <c r="D531" s="33"/>
      <c r="E531" s="33"/>
      <c r="F531" s="33"/>
      <c r="G531" s="33"/>
      <c r="H531" s="42"/>
      <c r="I531" s="33"/>
      <c r="J531" s="33"/>
      <c r="K531" s="42"/>
      <c r="L531" s="33"/>
      <c r="M531" s="55"/>
      <c r="N531" s="33"/>
      <c r="O531" s="33"/>
      <c r="P531" s="55"/>
    </row>
    <row r="532" spans="2:16">
      <c r="B532" s="33"/>
      <c r="C532" s="33"/>
      <c r="D532" s="33"/>
      <c r="E532" s="33"/>
      <c r="F532" s="33"/>
      <c r="G532" s="33"/>
      <c r="H532" s="42"/>
      <c r="I532" s="33"/>
      <c r="J532" s="33"/>
      <c r="K532" s="42"/>
      <c r="L532" s="33"/>
      <c r="M532" s="55"/>
      <c r="N532" s="33"/>
      <c r="O532" s="33"/>
      <c r="P532" s="55"/>
    </row>
    <row r="533" spans="2:16">
      <c r="B533" s="33"/>
      <c r="C533" s="33"/>
      <c r="D533" s="33"/>
      <c r="E533" s="33"/>
      <c r="F533" s="33"/>
      <c r="G533" s="33"/>
      <c r="H533" s="42"/>
      <c r="I533" s="33"/>
      <c r="J533" s="33"/>
      <c r="K533" s="42"/>
      <c r="L533" s="33"/>
      <c r="M533" s="55"/>
      <c r="N533" s="33"/>
      <c r="O533" s="33"/>
      <c r="P533" s="55"/>
    </row>
    <row r="534" spans="2:16">
      <c r="B534" s="33"/>
      <c r="C534" s="33"/>
      <c r="D534" s="33"/>
      <c r="E534" s="33"/>
      <c r="F534" s="33"/>
      <c r="G534" s="33"/>
      <c r="H534" s="42"/>
      <c r="I534" s="33"/>
      <c r="J534" s="33"/>
      <c r="K534" s="42"/>
      <c r="L534" s="33"/>
      <c r="M534" s="55"/>
      <c r="N534" s="33"/>
      <c r="O534" s="33"/>
      <c r="P534" s="55"/>
    </row>
    <row r="535" spans="2:16">
      <c r="B535" s="33"/>
      <c r="C535" s="33"/>
      <c r="D535" s="33"/>
      <c r="E535" s="33"/>
      <c r="F535" s="33"/>
      <c r="G535" s="33"/>
      <c r="H535" s="42"/>
      <c r="I535" s="33"/>
      <c r="J535" s="33"/>
      <c r="K535" s="42"/>
      <c r="L535" s="33"/>
      <c r="M535" s="55"/>
      <c r="N535" s="33"/>
      <c r="O535" s="33"/>
      <c r="P535" s="55"/>
    </row>
    <row r="536" spans="2:16">
      <c r="B536" s="33"/>
      <c r="C536" s="33"/>
      <c r="D536" s="33"/>
      <c r="E536" s="33"/>
      <c r="F536" s="33"/>
      <c r="G536" s="33"/>
      <c r="H536" s="42"/>
      <c r="I536" s="33"/>
      <c r="J536" s="33"/>
      <c r="K536" s="42"/>
      <c r="L536" s="33"/>
      <c r="M536" s="55"/>
      <c r="N536" s="33"/>
      <c r="O536" s="33"/>
      <c r="P536" s="55"/>
    </row>
    <row r="537" spans="2:16">
      <c r="B537" s="33"/>
      <c r="C537" s="33"/>
      <c r="D537" s="33"/>
      <c r="E537" s="33"/>
      <c r="F537" s="33"/>
      <c r="G537" s="33"/>
      <c r="H537" s="42"/>
      <c r="I537" s="33"/>
      <c r="J537" s="33"/>
      <c r="K537" s="42"/>
      <c r="L537" s="33"/>
      <c r="M537" s="55"/>
      <c r="N537" s="33"/>
      <c r="O537" s="33"/>
      <c r="P537" s="55"/>
    </row>
    <row r="538" spans="2:16">
      <c r="B538" s="33"/>
      <c r="C538" s="33"/>
      <c r="D538" s="33"/>
      <c r="E538" s="33"/>
      <c r="F538" s="33"/>
      <c r="G538" s="33"/>
      <c r="H538" s="42"/>
      <c r="I538" s="33"/>
      <c r="J538" s="33"/>
      <c r="K538" s="42"/>
      <c r="L538" s="33"/>
      <c r="M538" s="55"/>
      <c r="N538" s="33"/>
      <c r="O538" s="33"/>
      <c r="P538" s="55"/>
    </row>
    <row r="539" spans="2:16">
      <c r="B539" s="33"/>
      <c r="C539" s="33"/>
      <c r="D539" s="33"/>
      <c r="E539" s="33"/>
      <c r="F539" s="33"/>
      <c r="G539" s="33"/>
      <c r="H539" s="42"/>
      <c r="I539" s="33"/>
      <c r="J539" s="33"/>
      <c r="K539" s="42"/>
      <c r="L539" s="33"/>
      <c r="M539" s="55"/>
      <c r="N539" s="33"/>
      <c r="O539" s="33"/>
      <c r="P539" s="55"/>
    </row>
    <row r="540" spans="2:16">
      <c r="B540" s="33"/>
      <c r="C540" s="33"/>
      <c r="D540" s="33"/>
      <c r="E540" s="33"/>
      <c r="F540" s="33"/>
      <c r="G540" s="33"/>
      <c r="H540" s="42"/>
      <c r="I540" s="33"/>
      <c r="J540" s="33"/>
      <c r="K540" s="42"/>
      <c r="L540" s="33"/>
      <c r="M540" s="55"/>
      <c r="N540" s="33"/>
      <c r="O540" s="33"/>
      <c r="P540" s="55"/>
    </row>
    <row r="541" spans="2:16">
      <c r="B541" s="33"/>
      <c r="C541" s="33"/>
      <c r="D541" s="33"/>
      <c r="E541" s="33"/>
      <c r="F541" s="33"/>
      <c r="G541" s="33"/>
      <c r="H541" s="42"/>
      <c r="I541" s="33"/>
      <c r="J541" s="33"/>
      <c r="K541" s="42"/>
      <c r="L541" s="33"/>
      <c r="M541" s="55"/>
      <c r="N541" s="33"/>
      <c r="O541" s="33"/>
      <c r="P541" s="55"/>
    </row>
    <row r="542" spans="2:16">
      <c r="B542" s="33"/>
      <c r="C542" s="33"/>
      <c r="D542" s="33"/>
      <c r="E542" s="33"/>
      <c r="F542" s="33"/>
      <c r="G542" s="33"/>
      <c r="H542" s="42"/>
      <c r="I542" s="33"/>
      <c r="J542" s="33"/>
      <c r="K542" s="42"/>
      <c r="L542" s="33"/>
      <c r="M542" s="55"/>
      <c r="N542" s="33"/>
      <c r="O542" s="33"/>
      <c r="P542" s="55"/>
    </row>
    <row r="543" spans="2:16">
      <c r="B543" s="33"/>
      <c r="C543" s="33"/>
      <c r="D543" s="33"/>
      <c r="E543" s="33"/>
      <c r="F543" s="33"/>
      <c r="G543" s="33"/>
      <c r="H543" s="42"/>
      <c r="I543" s="33"/>
      <c r="J543" s="33"/>
      <c r="K543" s="42"/>
      <c r="L543" s="33"/>
      <c r="M543" s="55"/>
      <c r="N543" s="33"/>
      <c r="O543" s="33"/>
      <c r="P543" s="55"/>
    </row>
    <row r="544" spans="2:16">
      <c r="B544" s="33"/>
      <c r="C544" s="33"/>
      <c r="D544" s="33"/>
      <c r="E544" s="33"/>
      <c r="F544" s="33"/>
      <c r="G544" s="33"/>
      <c r="H544" s="42"/>
      <c r="I544" s="33"/>
      <c r="J544" s="33"/>
      <c r="K544" s="42"/>
      <c r="L544" s="33"/>
      <c r="M544" s="55"/>
      <c r="N544" s="33"/>
      <c r="O544" s="33"/>
      <c r="P544" s="55"/>
    </row>
    <row r="545" spans="2:16">
      <c r="B545" s="33"/>
      <c r="C545" s="33"/>
      <c r="D545" s="33"/>
      <c r="E545" s="33"/>
      <c r="F545" s="33"/>
      <c r="G545" s="33"/>
      <c r="H545" s="42"/>
      <c r="I545" s="33"/>
      <c r="J545" s="33"/>
      <c r="K545" s="42"/>
      <c r="L545" s="33"/>
      <c r="M545" s="55"/>
      <c r="N545" s="33"/>
      <c r="O545" s="33"/>
      <c r="P545" s="55"/>
    </row>
    <row r="546" spans="2:16">
      <c r="B546" s="33"/>
      <c r="C546" s="33"/>
      <c r="D546" s="33"/>
      <c r="E546" s="33"/>
      <c r="F546" s="33"/>
      <c r="G546" s="33"/>
      <c r="H546" s="42"/>
      <c r="I546" s="33"/>
      <c r="J546" s="33"/>
      <c r="K546" s="42"/>
      <c r="L546" s="33"/>
      <c r="M546" s="55"/>
      <c r="N546" s="33"/>
      <c r="O546" s="33"/>
      <c r="P546" s="55"/>
    </row>
    <row r="547" spans="2:16">
      <c r="B547" s="33"/>
      <c r="C547" s="33"/>
      <c r="D547" s="33"/>
      <c r="E547" s="33"/>
      <c r="F547" s="33"/>
      <c r="G547" s="33"/>
      <c r="H547" s="42"/>
      <c r="I547" s="33"/>
      <c r="J547" s="33"/>
      <c r="K547" s="42"/>
      <c r="L547" s="33"/>
      <c r="M547" s="55"/>
      <c r="N547" s="33"/>
      <c r="O547" s="33"/>
      <c r="P547" s="55"/>
    </row>
    <row r="548" spans="2:16">
      <c r="B548" s="33"/>
      <c r="C548" s="33"/>
      <c r="D548" s="33"/>
      <c r="E548" s="33"/>
      <c r="F548" s="33"/>
      <c r="G548" s="33"/>
      <c r="H548" s="42"/>
      <c r="I548" s="33"/>
      <c r="J548" s="33"/>
      <c r="K548" s="42"/>
      <c r="L548" s="33"/>
      <c r="M548" s="55"/>
      <c r="N548" s="33"/>
      <c r="O548" s="33"/>
      <c r="P548" s="55"/>
    </row>
    <row r="549" spans="2:16">
      <c r="B549" s="33"/>
      <c r="C549" s="33"/>
      <c r="D549" s="33"/>
      <c r="E549" s="33"/>
      <c r="F549" s="33"/>
      <c r="G549" s="33"/>
      <c r="H549" s="42"/>
      <c r="I549" s="33"/>
      <c r="J549" s="33"/>
      <c r="K549" s="42"/>
      <c r="L549" s="33"/>
      <c r="M549" s="55"/>
      <c r="N549" s="33"/>
      <c r="O549" s="33"/>
      <c r="P549" s="55"/>
    </row>
    <row r="550" spans="2:16">
      <c r="B550" s="33"/>
      <c r="C550" s="33"/>
      <c r="D550" s="33"/>
      <c r="E550" s="33"/>
      <c r="F550" s="33"/>
      <c r="G550" s="33"/>
      <c r="H550" s="42"/>
      <c r="I550" s="33"/>
      <c r="J550" s="33"/>
      <c r="K550" s="42"/>
      <c r="L550" s="33"/>
      <c r="M550" s="55"/>
      <c r="N550" s="33"/>
      <c r="O550" s="33"/>
      <c r="P550" s="55"/>
    </row>
    <row r="551" spans="2:16">
      <c r="B551" s="33"/>
      <c r="C551" s="33"/>
      <c r="D551" s="33"/>
      <c r="E551" s="33"/>
      <c r="F551" s="33"/>
      <c r="G551" s="33"/>
      <c r="H551" s="42"/>
      <c r="I551" s="33"/>
      <c r="J551" s="33"/>
      <c r="K551" s="42"/>
      <c r="L551" s="33"/>
      <c r="M551" s="55"/>
      <c r="N551" s="33"/>
      <c r="O551" s="33"/>
      <c r="P551" s="55"/>
    </row>
    <row r="552" spans="2:16">
      <c r="B552" s="33"/>
      <c r="C552" s="33"/>
      <c r="D552" s="33"/>
      <c r="E552" s="33"/>
      <c r="F552" s="33"/>
      <c r="G552" s="33"/>
      <c r="H552" s="42"/>
      <c r="I552" s="33"/>
      <c r="J552" s="33"/>
      <c r="K552" s="42"/>
      <c r="L552" s="33"/>
      <c r="M552" s="55"/>
      <c r="N552" s="33"/>
      <c r="O552" s="33"/>
      <c r="P552" s="55"/>
    </row>
    <row r="553" spans="2:16">
      <c r="B553" s="33"/>
      <c r="C553" s="33"/>
      <c r="D553" s="33"/>
      <c r="E553" s="33"/>
      <c r="F553" s="33"/>
      <c r="G553" s="33"/>
      <c r="H553" s="42"/>
      <c r="I553" s="33"/>
      <c r="J553" s="33"/>
      <c r="K553" s="42"/>
      <c r="L553" s="33"/>
      <c r="M553" s="55"/>
      <c r="N553" s="33"/>
      <c r="O553" s="33"/>
      <c r="P553" s="55"/>
    </row>
    <row r="554" spans="2:16">
      <c r="B554" s="33"/>
      <c r="C554" s="33"/>
      <c r="D554" s="33"/>
      <c r="E554" s="33"/>
      <c r="F554" s="33"/>
      <c r="G554" s="33"/>
      <c r="H554" s="42"/>
      <c r="I554" s="33"/>
      <c r="J554" s="33"/>
      <c r="K554" s="42"/>
      <c r="L554" s="33"/>
      <c r="M554" s="55"/>
      <c r="N554" s="33"/>
      <c r="O554" s="33"/>
      <c r="P554" s="55"/>
    </row>
    <row r="555" spans="2:16">
      <c r="B555" s="33"/>
      <c r="C555" s="33"/>
      <c r="D555" s="33"/>
      <c r="E555" s="33"/>
      <c r="F555" s="33"/>
      <c r="G555" s="33"/>
      <c r="H555" s="42"/>
      <c r="I555" s="33"/>
      <c r="J555" s="33"/>
      <c r="K555" s="42"/>
      <c r="L555" s="33"/>
      <c r="M555" s="55"/>
      <c r="N555" s="33"/>
      <c r="O555" s="33"/>
      <c r="P555" s="55"/>
    </row>
    <row r="556" spans="2:16">
      <c r="B556" s="33"/>
      <c r="C556" s="33"/>
      <c r="D556" s="33"/>
      <c r="E556" s="33"/>
      <c r="F556" s="33"/>
      <c r="G556" s="33"/>
      <c r="H556" s="42"/>
      <c r="I556" s="33"/>
      <c r="J556" s="33"/>
      <c r="K556" s="42"/>
      <c r="L556" s="33"/>
      <c r="M556" s="55"/>
      <c r="N556" s="33"/>
      <c r="O556" s="33"/>
      <c r="P556" s="55"/>
    </row>
    <row r="557" spans="2:16">
      <c r="B557" s="33"/>
      <c r="C557" s="33"/>
      <c r="D557" s="33"/>
      <c r="E557" s="33"/>
      <c r="F557" s="33"/>
      <c r="G557" s="33"/>
      <c r="H557" s="42"/>
      <c r="I557" s="33"/>
      <c r="J557" s="33"/>
      <c r="K557" s="42"/>
      <c r="L557" s="33"/>
      <c r="M557" s="55"/>
      <c r="N557" s="33"/>
      <c r="O557" s="33"/>
      <c r="P557" s="55"/>
    </row>
    <row r="558" spans="2:16">
      <c r="B558" s="33"/>
      <c r="C558" s="33"/>
      <c r="D558" s="33"/>
      <c r="E558" s="33"/>
      <c r="F558" s="33"/>
      <c r="G558" s="33"/>
      <c r="H558" s="42"/>
      <c r="I558" s="33"/>
      <c r="J558" s="33"/>
      <c r="K558" s="42"/>
      <c r="L558" s="33"/>
      <c r="M558" s="55"/>
      <c r="N558" s="33"/>
      <c r="O558" s="33"/>
      <c r="P558" s="55"/>
    </row>
    <row r="559" spans="2:16">
      <c r="B559" s="33"/>
      <c r="C559" s="33"/>
      <c r="D559" s="33"/>
      <c r="E559" s="33"/>
      <c r="F559" s="33"/>
      <c r="G559" s="33"/>
      <c r="H559" s="42"/>
      <c r="I559" s="33"/>
      <c r="J559" s="33"/>
      <c r="K559" s="42"/>
      <c r="L559" s="33"/>
      <c r="M559" s="55"/>
      <c r="N559" s="33"/>
      <c r="O559" s="33"/>
      <c r="P559" s="55"/>
    </row>
    <row r="560" spans="2:16">
      <c r="B560" s="33"/>
      <c r="C560" s="33"/>
      <c r="D560" s="33"/>
      <c r="E560" s="33"/>
      <c r="F560" s="33"/>
      <c r="G560" s="33"/>
      <c r="H560" s="42"/>
      <c r="I560" s="33"/>
      <c r="J560" s="33"/>
      <c r="K560" s="42"/>
      <c r="L560" s="33"/>
      <c r="M560" s="55"/>
      <c r="N560" s="33"/>
      <c r="O560" s="33"/>
      <c r="P560" s="55"/>
    </row>
    <row r="561" spans="2:16">
      <c r="B561" s="33"/>
      <c r="C561" s="33"/>
      <c r="D561" s="33"/>
      <c r="E561" s="33"/>
      <c r="F561" s="33"/>
      <c r="G561" s="33"/>
      <c r="H561" s="42"/>
      <c r="I561" s="33"/>
      <c r="J561" s="33"/>
      <c r="K561" s="42"/>
      <c r="L561" s="33"/>
      <c r="M561" s="55"/>
      <c r="N561" s="33"/>
      <c r="O561" s="33"/>
      <c r="P561" s="55"/>
    </row>
    <row r="562" spans="2:16">
      <c r="B562" s="33"/>
      <c r="C562" s="33"/>
      <c r="D562" s="33"/>
      <c r="E562" s="33"/>
      <c r="F562" s="33"/>
      <c r="G562" s="33"/>
      <c r="H562" s="42"/>
      <c r="I562" s="33"/>
      <c r="J562" s="33"/>
      <c r="K562" s="42"/>
      <c r="L562" s="33"/>
      <c r="M562" s="55"/>
      <c r="N562" s="33"/>
      <c r="O562" s="33"/>
      <c r="P562" s="55"/>
    </row>
    <row r="563" spans="2:16">
      <c r="B563" s="33"/>
      <c r="C563" s="33"/>
      <c r="D563" s="33"/>
      <c r="E563" s="33"/>
      <c r="F563" s="33"/>
      <c r="G563" s="33"/>
      <c r="H563" s="42"/>
      <c r="I563" s="33"/>
      <c r="J563" s="33"/>
      <c r="K563" s="42"/>
      <c r="L563" s="33"/>
      <c r="M563" s="55"/>
      <c r="N563" s="33"/>
      <c r="O563" s="33"/>
      <c r="P563" s="55"/>
    </row>
    <row r="564" spans="2:16">
      <c r="B564" s="33"/>
      <c r="C564" s="33"/>
      <c r="D564" s="33"/>
      <c r="E564" s="33"/>
      <c r="F564" s="33"/>
      <c r="G564" s="33"/>
      <c r="H564" s="42"/>
      <c r="I564" s="33"/>
      <c r="J564" s="33"/>
      <c r="K564" s="42"/>
      <c r="L564" s="33"/>
      <c r="M564" s="55"/>
      <c r="N564" s="33"/>
      <c r="O564" s="33"/>
      <c r="P564" s="55"/>
    </row>
    <row r="565" spans="2:16">
      <c r="B565" s="33"/>
      <c r="C565" s="33"/>
      <c r="D565" s="33"/>
      <c r="E565" s="33"/>
      <c r="F565" s="33"/>
      <c r="G565" s="33"/>
      <c r="H565" s="42"/>
      <c r="I565" s="33"/>
      <c r="J565" s="33"/>
      <c r="K565" s="42"/>
      <c r="L565" s="33"/>
      <c r="M565" s="55"/>
      <c r="N565" s="33"/>
      <c r="O565" s="33"/>
      <c r="P565" s="55"/>
    </row>
    <row r="566" spans="2:16">
      <c r="B566" s="33"/>
      <c r="C566" s="33"/>
      <c r="D566" s="33"/>
      <c r="E566" s="33"/>
      <c r="F566" s="33"/>
      <c r="G566" s="33"/>
      <c r="H566" s="42"/>
      <c r="I566" s="33"/>
      <c r="J566" s="33"/>
      <c r="K566" s="42"/>
      <c r="L566" s="33"/>
      <c r="M566" s="55"/>
      <c r="N566" s="33"/>
      <c r="O566" s="33"/>
      <c r="P566" s="55"/>
    </row>
    <row r="567" spans="2:16">
      <c r="B567" s="33"/>
      <c r="C567" s="33"/>
      <c r="D567" s="33"/>
      <c r="E567" s="33"/>
      <c r="F567" s="33"/>
      <c r="G567" s="33"/>
      <c r="H567" s="42"/>
      <c r="I567" s="33"/>
      <c r="J567" s="33"/>
      <c r="K567" s="42"/>
      <c r="L567" s="33"/>
      <c r="M567" s="55"/>
      <c r="N567" s="33"/>
      <c r="O567" s="33"/>
      <c r="P567" s="55"/>
    </row>
    <row r="568" spans="2:16">
      <c r="B568" s="33"/>
      <c r="C568" s="33"/>
      <c r="D568" s="33"/>
      <c r="E568" s="33"/>
      <c r="F568" s="33"/>
      <c r="G568" s="33"/>
      <c r="H568" s="42"/>
      <c r="I568" s="33"/>
      <c r="J568" s="33"/>
      <c r="K568" s="42"/>
      <c r="L568" s="33"/>
      <c r="M568" s="55"/>
      <c r="N568" s="33"/>
      <c r="O568" s="33"/>
      <c r="P568" s="55"/>
    </row>
    <row r="569" spans="2:16">
      <c r="B569" s="33"/>
      <c r="C569" s="33"/>
      <c r="D569" s="33"/>
      <c r="E569" s="33"/>
      <c r="F569" s="33"/>
      <c r="G569" s="33"/>
      <c r="H569" s="42"/>
      <c r="I569" s="33"/>
      <c r="J569" s="33"/>
      <c r="K569" s="42"/>
      <c r="L569" s="33"/>
      <c r="M569" s="55"/>
      <c r="N569" s="33"/>
      <c r="O569" s="33"/>
      <c r="P569" s="55"/>
    </row>
    <row r="570" spans="2:16">
      <c r="B570" s="33"/>
      <c r="C570" s="33"/>
      <c r="D570" s="33"/>
      <c r="E570" s="33"/>
      <c r="F570" s="33"/>
      <c r="G570" s="33"/>
      <c r="H570" s="42"/>
      <c r="I570" s="33"/>
      <c r="J570" s="33"/>
      <c r="K570" s="42"/>
      <c r="L570" s="33"/>
      <c r="M570" s="55"/>
      <c r="N570" s="33"/>
      <c r="O570" s="33"/>
      <c r="P570" s="55"/>
    </row>
    <row r="571" spans="2:16">
      <c r="B571" s="33"/>
      <c r="C571" s="33"/>
      <c r="D571" s="33"/>
      <c r="E571" s="33"/>
      <c r="F571" s="33"/>
      <c r="G571" s="33"/>
      <c r="H571" s="42"/>
      <c r="I571" s="33"/>
      <c r="J571" s="33"/>
      <c r="K571" s="42"/>
      <c r="L571" s="33"/>
      <c r="M571" s="55"/>
      <c r="N571" s="33"/>
      <c r="O571" s="33"/>
      <c r="P571" s="55"/>
    </row>
    <row r="572" spans="2:16">
      <c r="B572" s="33"/>
      <c r="C572" s="33"/>
      <c r="D572" s="33"/>
      <c r="E572" s="33"/>
      <c r="F572" s="33"/>
      <c r="G572" s="33"/>
      <c r="H572" s="42"/>
      <c r="I572" s="33"/>
      <c r="J572" s="33"/>
      <c r="K572" s="42"/>
      <c r="L572" s="33"/>
      <c r="M572" s="55"/>
      <c r="N572" s="33"/>
      <c r="O572" s="33"/>
      <c r="P572" s="55"/>
    </row>
    <row r="573" spans="2:16">
      <c r="B573" s="33"/>
      <c r="C573" s="33"/>
      <c r="D573" s="33"/>
      <c r="E573" s="33"/>
      <c r="F573" s="33"/>
      <c r="G573" s="33"/>
      <c r="H573" s="42"/>
      <c r="I573" s="33"/>
      <c r="J573" s="33"/>
      <c r="K573" s="42"/>
      <c r="L573" s="33"/>
      <c r="M573" s="55"/>
      <c r="N573" s="33"/>
      <c r="O573" s="33"/>
      <c r="P573" s="55"/>
    </row>
    <row r="574" spans="2:16">
      <c r="B574" s="33"/>
      <c r="C574" s="33"/>
      <c r="D574" s="33"/>
      <c r="E574" s="33"/>
      <c r="F574" s="33"/>
      <c r="G574" s="33"/>
      <c r="H574" s="42"/>
      <c r="I574" s="33"/>
      <c r="J574" s="33"/>
      <c r="K574" s="42"/>
      <c r="L574" s="33"/>
      <c r="M574" s="55"/>
      <c r="N574" s="33"/>
      <c r="O574" s="33"/>
      <c r="P574" s="55"/>
    </row>
    <row r="575" spans="2:16">
      <c r="B575" s="33"/>
      <c r="C575" s="33"/>
      <c r="D575" s="33"/>
      <c r="E575" s="33"/>
      <c r="F575" s="33"/>
      <c r="G575" s="33"/>
      <c r="H575" s="42"/>
      <c r="I575" s="33"/>
      <c r="J575" s="33"/>
      <c r="K575" s="42"/>
      <c r="L575" s="33"/>
      <c r="M575" s="55"/>
      <c r="N575" s="33"/>
      <c r="O575" s="33"/>
      <c r="P575" s="55"/>
    </row>
    <row r="576" spans="2:16">
      <c r="B576" s="33"/>
      <c r="C576" s="33"/>
      <c r="D576" s="33"/>
      <c r="E576" s="33"/>
      <c r="F576" s="33"/>
      <c r="G576" s="33"/>
      <c r="H576" s="42"/>
      <c r="I576" s="33"/>
      <c r="J576" s="33"/>
      <c r="K576" s="42"/>
      <c r="L576" s="33"/>
      <c r="M576" s="55"/>
      <c r="N576" s="33"/>
      <c r="O576" s="33"/>
      <c r="P576" s="55"/>
    </row>
    <row r="577" spans="2:16">
      <c r="B577" s="33"/>
      <c r="C577" s="33"/>
      <c r="D577" s="33"/>
      <c r="E577" s="33"/>
      <c r="F577" s="33"/>
      <c r="G577" s="33"/>
      <c r="H577" s="42"/>
      <c r="I577" s="33"/>
      <c r="J577" s="33"/>
      <c r="K577" s="42"/>
      <c r="L577" s="33"/>
      <c r="M577" s="55"/>
      <c r="N577" s="33"/>
      <c r="O577" s="33"/>
      <c r="P577" s="55"/>
    </row>
  </sheetData>
  <mergeCells count="26">
    <mergeCell ref="B1:Y1"/>
    <mergeCell ref="B2:Y2"/>
    <mergeCell ref="B4:Y4"/>
    <mergeCell ref="W9:W10"/>
    <mergeCell ref="B6:C6"/>
    <mergeCell ref="Q8:U8"/>
    <mergeCell ref="B9:F9"/>
    <mergeCell ref="G9:H9"/>
    <mergeCell ref="I9:J9"/>
    <mergeCell ref="K9:M9"/>
    <mergeCell ref="N9:P9"/>
    <mergeCell ref="Q9:Q10"/>
    <mergeCell ref="R9:R10"/>
    <mergeCell ref="S9:S10"/>
    <mergeCell ref="T9:T10"/>
    <mergeCell ref="U9:U10"/>
    <mergeCell ref="AE9:AE10"/>
    <mergeCell ref="AF9:AF10"/>
    <mergeCell ref="AG9:AG10"/>
    <mergeCell ref="AH9:AH10"/>
    <mergeCell ref="X9:X10"/>
    <mergeCell ref="Y9:Y10"/>
    <mergeCell ref="Z9:Z10"/>
    <mergeCell ref="AA9:AA10"/>
    <mergeCell ref="AB9:AB10"/>
    <mergeCell ref="AD9:AD10"/>
  </mergeCells>
  <conditionalFormatting sqref="G13:G92">
    <cfRule type="expression" dxfId="4" priority="2">
      <formula>#REF!="Active"</formula>
    </cfRule>
  </conditionalFormatting>
  <conditionalFormatting sqref="H13">
    <cfRule type="expression" dxfId="3" priority="6">
      <formula>#REF!="Active"</formula>
    </cfRule>
  </conditionalFormatting>
  <conditionalFormatting sqref="H14:H18">
    <cfRule type="expression" dxfId="2" priority="5">
      <formula>#REF!="Active"</formula>
    </cfRule>
  </conditionalFormatting>
  <conditionalFormatting sqref="H19:H92">
    <cfRule type="expression" dxfId="1" priority="3">
      <formula>#REF!="Active"</formula>
    </cfRule>
  </conditionalFormatting>
  <conditionalFormatting sqref="I13:I92">
    <cfRule type="expression" dxfId="0" priority="1">
      <formula>#REF!="Active"</formula>
    </cfRule>
  </conditionalFormatting>
  <dataValidations count="3">
    <dataValidation type="list" allowBlank="1" showInputMessage="1" showErrorMessage="1" sqref="G13:G92" xr:uid="{581AE04F-0E7D-4FD1-8F23-EDD5B52D620B}">
      <formula1>parkratename</formula1>
    </dataValidation>
    <dataValidation type="list" allowBlank="1" showInputMessage="1" showErrorMessage="1" sqref="Q13:U92" xr:uid="{A330C232-FE81-4528-9A59-D9097DA7271E}">
      <formula1>Futurepick</formula1>
    </dataValidation>
    <dataValidation type="list" allowBlank="1" showInputMessage="1" showErrorMessage="1" sqref="D6" xr:uid="{2016EC19-767E-4ECB-888F-623CEB39CE92}">
      <formula1>LANDRATETYPE</formula1>
    </dataValidation>
  </dataValidations>
  <hyperlinks>
    <hyperlink ref="B3" location="'Navigation Pane'!A1" display="Return to Navigation Pane" xr:uid="{FEFBAC7D-FDE8-41F7-BA06-80230061A1CA}"/>
  </hyperlinks>
  <pageMargins left="0.23622047244094491" right="0.23622047244094491" top="0.74803149606299213" bottom="0.74803149606299213" header="0.31496062992125984" footer="0.31496062992125984"/>
  <pageSetup paperSize="9" scale="60" fitToHeight="0"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dimension ref="A1:GF64"/>
  <sheetViews>
    <sheetView zoomScale="70" zoomScaleNormal="70" workbookViewId="0"/>
  </sheetViews>
  <sheetFormatPr defaultColWidth="9" defaultRowHeight="16.5"/>
  <cols>
    <col min="1" max="1" width="3.125" style="33" customWidth="1"/>
    <col min="2" max="2" width="13.5" style="33" bestFit="1" customWidth="1"/>
    <col min="3" max="3" width="12.25" style="33" customWidth="1"/>
    <col min="4" max="4" width="14.5" style="33" bestFit="1" customWidth="1"/>
    <col min="5" max="5" width="13.625" style="33" customWidth="1"/>
    <col min="6" max="6" width="116.625" style="33" customWidth="1"/>
    <col min="7" max="7" width="13.125" style="33" customWidth="1"/>
    <col min="8" max="8" width="10.125" style="44" customWidth="1"/>
    <col min="9" max="9" width="9.625" style="33" customWidth="1"/>
    <col min="10" max="10" width="14.25" style="33" customWidth="1"/>
    <col min="11" max="11" width="15.125" style="33" customWidth="1"/>
    <col min="12" max="12" width="8.5" style="33" customWidth="1"/>
    <col min="13" max="13" width="7.75" style="33" customWidth="1"/>
    <col min="14" max="15" width="11.5" style="33" customWidth="1"/>
    <col min="16" max="16" width="12.625" style="55" customWidth="1"/>
    <col min="17" max="17" width="12.625" style="33" customWidth="1"/>
    <col min="18" max="18" width="8.5" style="33" customWidth="1"/>
    <col min="19" max="20" width="8.5" style="59" customWidth="1"/>
    <col min="21" max="21" width="20.75" style="59" customWidth="1"/>
    <col min="22" max="23" width="10.5" style="59" customWidth="1"/>
    <col min="24" max="24" width="16.75" style="59" customWidth="1"/>
    <col min="25" max="25" width="14.625" style="55" bestFit="1" customWidth="1"/>
    <col min="26" max="26" width="15.75" style="55" customWidth="1"/>
    <col min="27" max="27" width="15.625" style="55" bestFit="1" customWidth="1"/>
    <col min="28" max="28" width="14.5" style="55" customWidth="1"/>
    <col min="29" max="29" width="7.5" style="33" customWidth="1"/>
    <col min="30" max="33" width="5.5" style="33" customWidth="1"/>
    <col min="34" max="34" width="1.625" style="40" customWidth="1"/>
    <col min="35" max="38" width="9" style="40" customWidth="1"/>
    <col min="39" max="39" width="9" style="33" customWidth="1"/>
    <col min="40" max="40" width="5.75" style="40" customWidth="1"/>
    <col min="41" max="41" width="2.125" style="40" customWidth="1"/>
    <col min="42" max="46" width="14.75" style="33" customWidth="1"/>
    <col min="47" max="47" width="2.125" style="33" customWidth="1"/>
    <col min="48" max="53" width="16.625" style="33" customWidth="1"/>
    <col min="54" max="16384" width="9" style="33"/>
  </cols>
  <sheetData>
    <row r="1" spans="1:188">
      <c r="H1" s="33"/>
      <c r="P1" s="33"/>
      <c r="S1" s="33"/>
      <c r="T1" s="33"/>
      <c r="U1" s="33"/>
      <c r="V1" s="33"/>
      <c r="W1" s="33"/>
      <c r="X1" s="33"/>
      <c r="Y1" s="33"/>
      <c r="Z1" s="33"/>
      <c r="AA1" s="33"/>
      <c r="AB1" s="33"/>
      <c r="AH1" s="33"/>
      <c r="AI1" s="33"/>
      <c r="AJ1" s="33"/>
      <c r="AK1" s="33"/>
      <c r="AL1" s="33"/>
      <c r="AN1" s="33"/>
      <c r="AO1" s="33"/>
    </row>
    <row r="2" spans="1:188" ht="26.25">
      <c r="B2" s="399" t="str">
        <f>'Navigation Pane'!B2</f>
        <v>Brisbane City Council</v>
      </c>
      <c r="C2" s="399"/>
      <c r="D2" s="399"/>
      <c r="E2" s="399"/>
      <c r="F2" s="399"/>
      <c r="G2" s="399"/>
      <c r="H2" s="399"/>
      <c r="I2" s="399"/>
      <c r="J2" s="399"/>
    </row>
    <row r="3" spans="1:188" ht="25.5" customHeight="1">
      <c r="B3" s="399" t="s">
        <v>95</v>
      </c>
      <c r="C3" s="399"/>
      <c r="D3" s="399"/>
      <c r="E3" s="399"/>
      <c r="F3" s="399"/>
      <c r="G3" s="399"/>
      <c r="H3" s="399"/>
      <c r="I3" s="399"/>
      <c r="J3" s="399"/>
    </row>
    <row r="4" spans="1:188">
      <c r="A4" s="45"/>
      <c r="B4" s="45" t="s">
        <v>49</v>
      </c>
      <c r="Q4" s="99"/>
    </row>
    <row r="5" spans="1:188" ht="21" customHeight="1">
      <c r="B5" s="400" t="s">
        <v>69</v>
      </c>
      <c r="C5" s="400"/>
      <c r="D5" s="400"/>
      <c r="E5" s="400"/>
      <c r="F5" s="400"/>
      <c r="G5" s="400"/>
      <c r="H5" s="400"/>
      <c r="I5" s="400"/>
      <c r="J5" s="400"/>
    </row>
    <row r="6" spans="1:188" ht="17.25" thickBot="1">
      <c r="AI6" s="33"/>
      <c r="AJ6" s="33"/>
      <c r="AK6" s="33"/>
      <c r="AL6" s="33"/>
      <c r="AN6" s="33"/>
    </row>
    <row r="7" spans="1:188" ht="74.25" customHeight="1" thickBot="1">
      <c r="B7" s="406" t="s">
        <v>138</v>
      </c>
      <c r="C7" s="407"/>
      <c r="D7" s="407"/>
      <c r="E7" s="403" t="s">
        <v>378</v>
      </c>
      <c r="F7" s="404"/>
      <c r="G7" s="404"/>
      <c r="H7" s="404"/>
      <c r="I7" s="404"/>
      <c r="J7" s="404"/>
      <c r="K7" s="404"/>
      <c r="L7" s="404"/>
      <c r="M7" s="404"/>
      <c r="N7" s="404"/>
      <c r="O7" s="404"/>
      <c r="P7" s="404"/>
      <c r="Q7" s="404"/>
      <c r="R7" s="405"/>
    </row>
    <row r="8" spans="1:188" ht="17.25" thickBot="1"/>
    <row r="9" spans="1:188" ht="17.25" thickBot="1">
      <c r="B9" s="401" t="s">
        <v>93</v>
      </c>
      <c r="C9" s="402"/>
      <c r="D9" s="53" t="s">
        <v>90</v>
      </c>
    </row>
    <row r="10" spans="1:188" ht="17.25" thickBot="1"/>
    <row r="11" spans="1:188" s="1" customFormat="1" ht="17.25" thickBot="1">
      <c r="A11" s="33"/>
      <c r="B11" s="68"/>
      <c r="C11" s="69"/>
      <c r="D11" s="69"/>
      <c r="E11" s="69"/>
      <c r="F11" s="69"/>
      <c r="G11" s="69"/>
      <c r="H11" s="72"/>
      <c r="I11" s="69"/>
      <c r="J11" s="69"/>
      <c r="K11" s="74" t="s">
        <v>38</v>
      </c>
      <c r="L11" s="69"/>
      <c r="M11" s="69"/>
      <c r="N11" s="69"/>
      <c r="O11" s="70"/>
      <c r="P11" s="70"/>
      <c r="Q11" s="69"/>
      <c r="R11" s="69"/>
      <c r="S11" s="71"/>
      <c r="T11" s="71"/>
      <c r="U11" s="71"/>
      <c r="V11" s="71"/>
      <c r="W11" s="71"/>
      <c r="X11" s="71"/>
      <c r="Y11" s="70"/>
      <c r="Z11" s="70"/>
      <c r="AA11" s="70"/>
      <c r="AB11" s="70"/>
      <c r="AC11" s="396" t="s">
        <v>100</v>
      </c>
      <c r="AD11" s="397"/>
      <c r="AE11" s="397"/>
      <c r="AF11" s="397"/>
      <c r="AG11" s="398"/>
      <c r="AH11" s="40"/>
      <c r="AI11" s="408" t="s">
        <v>65</v>
      </c>
      <c r="AJ11" s="409"/>
      <c r="AK11" s="409"/>
      <c r="AL11" s="409"/>
      <c r="AM11" s="409"/>
      <c r="AN11" s="410"/>
      <c r="AO11" s="40"/>
      <c r="AP11" s="396" t="s">
        <v>379</v>
      </c>
      <c r="AQ11" s="397"/>
      <c r="AR11" s="397"/>
      <c r="AS11" s="397"/>
      <c r="AT11" s="398"/>
      <c r="AU11" s="39"/>
      <c r="AV11" s="396" t="s">
        <v>136</v>
      </c>
      <c r="AW11" s="397"/>
      <c r="AX11" s="397"/>
      <c r="AY11" s="397"/>
      <c r="AZ11" s="397"/>
      <c r="BA11" s="397"/>
      <c r="BB11" s="115"/>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row>
    <row r="12" spans="1:188" s="1" customFormat="1" ht="15.75" customHeight="1" thickBot="1">
      <c r="A12" s="33"/>
      <c r="B12" s="396" t="s">
        <v>73</v>
      </c>
      <c r="C12" s="397"/>
      <c r="D12" s="397"/>
      <c r="E12" s="397"/>
      <c r="F12" s="397"/>
      <c r="G12" s="420" t="s">
        <v>108</v>
      </c>
      <c r="H12" s="421"/>
      <c r="I12" s="421"/>
      <c r="J12" s="422"/>
      <c r="K12" s="423"/>
      <c r="L12" s="423"/>
      <c r="M12" s="423"/>
      <c r="N12" s="423"/>
      <c r="O12" s="424"/>
      <c r="P12" s="424"/>
      <c r="Q12" s="425"/>
      <c r="R12" s="397" t="s">
        <v>75</v>
      </c>
      <c r="S12" s="397"/>
      <c r="T12" s="397"/>
      <c r="U12" s="397"/>
      <c r="V12" s="397"/>
      <c r="W12" s="397"/>
      <c r="X12" s="397"/>
      <c r="Y12" s="397"/>
      <c r="Z12" s="397"/>
      <c r="AA12" s="397"/>
      <c r="AB12" s="108"/>
      <c r="AC12" s="413" t="s">
        <v>116</v>
      </c>
      <c r="AD12" s="413" t="s">
        <v>117</v>
      </c>
      <c r="AE12" s="413" t="s">
        <v>118</v>
      </c>
      <c r="AF12" s="413" t="s">
        <v>119</v>
      </c>
      <c r="AG12" s="413" t="s">
        <v>120</v>
      </c>
      <c r="AH12" s="40"/>
      <c r="AI12" s="413" t="str">
        <f>AC12</f>
        <v>Fringe</v>
      </c>
      <c r="AJ12" s="415" t="str">
        <f>AD12</f>
        <v>Urban East</v>
      </c>
      <c r="AK12" s="415" t="str">
        <f>AE12</f>
        <v>Urban North</v>
      </c>
      <c r="AL12" s="415" t="str">
        <f>AF12</f>
        <v>Urban South</v>
      </c>
      <c r="AM12" s="417" t="str">
        <f>AG12</f>
        <v>Urban West</v>
      </c>
      <c r="AN12" s="413" t="s">
        <v>44</v>
      </c>
      <c r="AO12" s="40"/>
      <c r="AP12" s="411" t="str">
        <f>AC12</f>
        <v>Fringe</v>
      </c>
      <c r="AQ12" s="411" t="str">
        <f>AD12</f>
        <v>Urban East</v>
      </c>
      <c r="AR12" s="411" t="str">
        <f>AE12</f>
        <v>Urban North</v>
      </c>
      <c r="AS12" s="411" t="str">
        <f>AF12</f>
        <v>Urban South</v>
      </c>
      <c r="AT12" s="411" t="str">
        <f>AG12</f>
        <v>Urban West</v>
      </c>
      <c r="AU12" s="33"/>
      <c r="AV12" s="419" t="str">
        <f>AC12</f>
        <v>Fringe</v>
      </c>
      <c r="AW12" s="419" t="str">
        <f>AD12</f>
        <v>Urban East</v>
      </c>
      <c r="AX12" s="419" t="str">
        <f>AE12</f>
        <v>Urban North</v>
      </c>
      <c r="AY12" s="419" t="str">
        <f>AF12</f>
        <v>Urban South</v>
      </c>
      <c r="AZ12" s="419" t="str">
        <f>AG12</f>
        <v>Urban West</v>
      </c>
      <c r="BA12" s="411" t="str">
        <f>AN12</f>
        <v>TOTALS</v>
      </c>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row>
    <row r="13" spans="1:188" s="1" customFormat="1" ht="123.75" thickBot="1">
      <c r="A13" s="203"/>
      <c r="B13" s="204" t="s">
        <v>34</v>
      </c>
      <c r="C13" s="205" t="s">
        <v>72</v>
      </c>
      <c r="D13" s="205" t="s">
        <v>359</v>
      </c>
      <c r="E13" s="205" t="s">
        <v>107</v>
      </c>
      <c r="F13" s="205" t="s">
        <v>35</v>
      </c>
      <c r="G13" s="206" t="s">
        <v>94</v>
      </c>
      <c r="H13" s="207" t="s">
        <v>377</v>
      </c>
      <c r="I13" s="255" t="s">
        <v>376</v>
      </c>
      <c r="J13" s="208" t="s">
        <v>92</v>
      </c>
      <c r="K13" s="209" t="s">
        <v>360</v>
      </c>
      <c r="L13" s="204" t="s">
        <v>36</v>
      </c>
      <c r="M13" s="210" t="s">
        <v>71</v>
      </c>
      <c r="N13" s="211" t="s">
        <v>361</v>
      </c>
      <c r="O13" s="212" t="s">
        <v>358</v>
      </c>
      <c r="P13" s="212" t="s">
        <v>362</v>
      </c>
      <c r="Q13" s="213" t="s">
        <v>363</v>
      </c>
      <c r="R13" s="204" t="s">
        <v>109</v>
      </c>
      <c r="S13" s="214" t="s">
        <v>110</v>
      </c>
      <c r="T13" s="214" t="s">
        <v>111</v>
      </c>
      <c r="U13" s="215" t="s">
        <v>364</v>
      </c>
      <c r="V13" s="215" t="s">
        <v>134</v>
      </c>
      <c r="W13" s="215" t="s">
        <v>365</v>
      </c>
      <c r="X13" s="215" t="s">
        <v>366</v>
      </c>
      <c r="Y13" s="216" t="s">
        <v>367</v>
      </c>
      <c r="Z13" s="216" t="s">
        <v>368</v>
      </c>
      <c r="AA13" s="216" t="s">
        <v>369</v>
      </c>
      <c r="AB13" s="217" t="s">
        <v>370</v>
      </c>
      <c r="AC13" s="414" t="s">
        <v>116</v>
      </c>
      <c r="AD13" s="414" t="s">
        <v>117</v>
      </c>
      <c r="AE13" s="414" t="s">
        <v>118</v>
      </c>
      <c r="AF13" s="414" t="s">
        <v>119</v>
      </c>
      <c r="AG13" s="414" t="s">
        <v>120</v>
      </c>
      <c r="AH13" s="40"/>
      <c r="AI13" s="414"/>
      <c r="AJ13" s="416"/>
      <c r="AK13" s="416"/>
      <c r="AL13" s="416"/>
      <c r="AM13" s="418"/>
      <c r="AN13" s="414"/>
      <c r="AO13" s="40"/>
      <c r="AP13" s="412"/>
      <c r="AQ13" s="412"/>
      <c r="AR13" s="412"/>
      <c r="AS13" s="412"/>
      <c r="AT13" s="412"/>
      <c r="AU13" s="33"/>
      <c r="AV13" s="412"/>
      <c r="AW13" s="412"/>
      <c r="AX13" s="412"/>
      <c r="AY13" s="412"/>
      <c r="AZ13" s="412"/>
      <c r="BA13" s="412"/>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row>
    <row r="14" spans="1:188" s="279" customFormat="1" ht="57.75" thickBot="1">
      <c r="A14" s="267"/>
      <c r="B14" s="289" t="s">
        <v>78</v>
      </c>
      <c r="C14" s="290" t="s">
        <v>385</v>
      </c>
      <c r="D14" s="290" t="s">
        <v>121</v>
      </c>
      <c r="E14" s="290"/>
      <c r="F14" s="290"/>
      <c r="G14" s="289"/>
      <c r="H14" s="291"/>
      <c r="I14" s="292"/>
      <c r="J14" s="292"/>
      <c r="K14" s="293"/>
      <c r="L14" s="294"/>
      <c r="M14" s="292"/>
      <c r="N14" s="290"/>
      <c r="O14" s="295">
        <f t="shared" ref="O14:O27" si="0">ROUND((K14+P14)*N14,0)</f>
        <v>0</v>
      </c>
      <c r="P14" s="295"/>
      <c r="Q14" s="296"/>
      <c r="R14" s="294"/>
      <c r="S14" s="297"/>
      <c r="T14" s="297"/>
      <c r="U14" s="298" t="s">
        <v>133</v>
      </c>
      <c r="V14" s="299"/>
      <c r="W14" s="299"/>
      <c r="X14" s="298" t="s">
        <v>137</v>
      </c>
      <c r="Y14" s="295"/>
      <c r="Z14" s="295" t="s">
        <v>79</v>
      </c>
      <c r="AA14" s="295" t="s">
        <v>87</v>
      </c>
      <c r="AB14" s="300" t="s">
        <v>135</v>
      </c>
      <c r="AC14" s="306"/>
      <c r="AD14" s="307"/>
      <c r="AE14" s="307"/>
      <c r="AF14" s="307"/>
      <c r="AG14" s="307"/>
      <c r="AH14" s="301"/>
      <c r="AI14" s="311">
        <v>1.3729607286742941E-2</v>
      </c>
      <c r="AJ14" s="312">
        <v>0.20367118739886947</v>
      </c>
      <c r="AK14" s="312">
        <v>0.31089128801268717</v>
      </c>
      <c r="AL14" s="312">
        <v>0.29266734789935012</v>
      </c>
      <c r="AM14" s="313">
        <v>0.17904056940235033</v>
      </c>
      <c r="AN14" s="302"/>
      <c r="AO14" s="301"/>
      <c r="AP14" s="303"/>
      <c r="AQ14" s="300"/>
      <c r="AR14" s="300"/>
      <c r="AS14" s="300"/>
      <c r="AT14" s="304"/>
      <c r="AU14" s="267"/>
      <c r="AV14" s="303">
        <f>SUM(AV15:AV27)</f>
        <v>1282437.5423539358</v>
      </c>
      <c r="AW14" s="303">
        <f>SUM(AW15:AW27)</f>
        <v>20598065.962420169</v>
      </c>
      <c r="AX14" s="303">
        <f>SUM(AX15:AX27)</f>
        <v>33357517.557166565</v>
      </c>
      <c r="AY14" s="303">
        <f>SUM(AY15:AY27)</f>
        <v>27337096.140375141</v>
      </c>
      <c r="AZ14" s="303">
        <f>SUM(AZ15:AZ27)</f>
        <v>16723591.797684196</v>
      </c>
      <c r="BA14" s="305"/>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67"/>
      <c r="EU14" s="267"/>
      <c r="EV14" s="267"/>
      <c r="EW14" s="267"/>
      <c r="EX14" s="267"/>
      <c r="EY14" s="267"/>
      <c r="EZ14" s="267"/>
      <c r="FA14" s="267"/>
      <c r="FB14" s="267"/>
      <c r="FC14" s="267"/>
      <c r="FD14" s="267"/>
      <c r="FE14" s="267"/>
      <c r="FF14" s="267"/>
      <c r="FG14" s="267"/>
      <c r="FH14" s="267"/>
      <c r="FI14" s="267"/>
      <c r="FJ14" s="267"/>
      <c r="FK14" s="267"/>
      <c r="FL14" s="267"/>
      <c r="FM14" s="267"/>
      <c r="FN14" s="267"/>
      <c r="FO14" s="267"/>
      <c r="FP14" s="267"/>
      <c r="FQ14" s="267"/>
      <c r="FR14" s="267"/>
      <c r="FS14" s="267"/>
      <c r="FT14" s="267"/>
      <c r="FU14" s="267"/>
      <c r="FV14" s="267"/>
      <c r="FW14" s="267"/>
      <c r="FX14" s="267"/>
      <c r="FY14" s="267"/>
      <c r="FZ14" s="267"/>
      <c r="GA14" s="267"/>
      <c r="GB14" s="267"/>
      <c r="GC14" s="267"/>
      <c r="GD14" s="267"/>
      <c r="GE14" s="267"/>
      <c r="GF14" s="267"/>
    </row>
    <row r="15" spans="1:188" s="1" customFormat="1">
      <c r="A15" s="33"/>
      <c r="B15" s="218" t="s">
        <v>106</v>
      </c>
      <c r="C15" s="166" t="s">
        <v>123</v>
      </c>
      <c r="D15" s="166" t="s">
        <v>104</v>
      </c>
      <c r="E15" s="166" t="s">
        <v>118</v>
      </c>
      <c r="F15" s="166" t="s">
        <v>127</v>
      </c>
      <c r="G15" s="219"/>
      <c r="H15" s="167">
        <v>6000</v>
      </c>
      <c r="I15" s="56">
        <f t="shared" ref="I15:I27" si="1">J15/H15</f>
        <v>1862.4676666666667</v>
      </c>
      <c r="J15" s="220">
        <v>11174806</v>
      </c>
      <c r="K15" s="221">
        <v>459210</v>
      </c>
      <c r="L15" s="166">
        <v>2021</v>
      </c>
      <c r="M15" s="166">
        <v>1</v>
      </c>
      <c r="N15" s="62">
        <f t="shared" ref="N15:N27" si="2">IF(R15="","",IF(R15&lt;=YEAR+5,0.075,IF(AND(R15&gt;YEAR+5,R15&lt;=YEAR+10),0.15,IF(AND(R15&gt;YEAR+10,R15&lt;=YEAR+20),0.2,IF(R15&gt;YEAR+20,0.25,"")))))</f>
        <v>0.15</v>
      </c>
      <c r="O15" s="63">
        <f t="shared" si="0"/>
        <v>84724</v>
      </c>
      <c r="P15" s="63">
        <f t="shared" ref="P15:P27" si="3">ROUND((K15)*23%,0)</f>
        <v>105618</v>
      </c>
      <c r="Q15" s="64">
        <f t="shared" ref="Q15:Q27" si="4">ROUND((K15+P15+(K15+P15)*N15),0)</f>
        <v>649552</v>
      </c>
      <c r="R15" s="218">
        <v>2029</v>
      </c>
      <c r="S15" s="222">
        <f t="shared" ref="S15:S27" si="5">Landind</f>
        <v>2.0111853187589457E-2</v>
      </c>
      <c r="T15" s="222">
        <f t="shared" ref="T15:T27" si="6">PPI</f>
        <v>1.8200000000000001E-2</v>
      </c>
      <c r="U15" s="222">
        <f>IFERROR(IF(FutureTrunkParks[[#This Row],[Year of Provision]]&gt;2024,VLOOKUP(FutureTrunkParks[[#This Row],[Service Catchment]],'Catchment Demand - LFCF'!$C$8:$M$12,11,FALSE),""),"")</f>
        <v>0.24825665082274484</v>
      </c>
      <c r="V15"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1</v>
      </c>
      <c r="W15" s="223">
        <f>IF(AND(FutureTrunkParks[[#This Row],[Spare Capacity (%)]]&gt;30%,FutureTrunkParks[[#This Row],[Share of the total Cost with the same year of provision %]]&gt;20%),(1-FutureTrunkParks[[#This Row],[Spare Capacity (%)]]),1)</f>
        <v>1</v>
      </c>
      <c r="X15" s="223">
        <f>IF(FutureTrunkParks[[#This Row],[Terminal Value Analysis]]&lt;0,0,FutureTrunkParks[[#This Row],[Terminal Value Analysis]])</f>
        <v>1</v>
      </c>
      <c r="Y15" s="65">
        <f t="shared" ref="Y15:Y27" si="7">ROUND((Q15+J15),0)</f>
        <v>11824358</v>
      </c>
      <c r="Z15" s="65">
        <f t="shared" ref="Z15:Z27" si="8">ROUND((Q15*(1+T15)^(R15-YEAR)+J15*(1+S15)^(R15-YEAR)),0)</f>
        <v>13854933</v>
      </c>
      <c r="AA15" s="65">
        <f t="shared" ref="AA15:AA27" si="9">ROUND((Z15*(1/(1+WACC))^(R15-YEAR)),0)</f>
        <v>8752028</v>
      </c>
      <c r="AB15" s="106">
        <f>FutureTrunkParks[[#This Row],[Net Present Value of Establishment Cost]]*FutureTrunkParks[[#This Row],[Terminal Value Adjustment (%)]]</f>
        <v>8752028</v>
      </c>
      <c r="AC15" s="309" t="str">
        <f>IF(FutureTrunkParks[[#This Row],[Hierarchy/Name]]="Local",IF(AC$13=$E15,"Y",""),"Y")</f>
        <v>Y</v>
      </c>
      <c r="AD15" s="309" t="str">
        <f>IF(FutureTrunkParks[[#This Row],[Hierarchy/Name]]="Local",IF(AD$13=$E15,"Y",""),"Y")</f>
        <v>Y</v>
      </c>
      <c r="AE15" s="309" t="str">
        <f>IF(FutureTrunkParks[[#This Row],[Hierarchy/Name]]="Local",IF(AE$13=$E15,"Y",""),"Y")</f>
        <v>Y</v>
      </c>
      <c r="AF15" s="309" t="str">
        <f>IF(FutureTrunkParks[[#This Row],[Hierarchy/Name]]="Local",IF(AF$13=$E15,"Y",""),"Y")</f>
        <v>Y</v>
      </c>
      <c r="AG15" s="309" t="str">
        <f>IF(FutureTrunkParks[[#This Row],[Hierarchy/Name]]="Local",IF(AG$13=$E15,"Y",""),"Y")</f>
        <v>Y</v>
      </c>
      <c r="AH15" s="40"/>
      <c r="AI15" s="60">
        <f>IF(AND(FutureTrunkParks[[#This Row],[Hierarchy/Name]]="Local",AC15="Y"),100%,IF(AC15="Y",AI$14,""))</f>
        <v>1.3729607286742941E-2</v>
      </c>
      <c r="AJ15" s="60">
        <f>IF(AND(FutureTrunkParks[[#This Row],[Hierarchy/Name]]="Local",AD15="Y"),100%,IF(AD15="Y",AJ$14,""))</f>
        <v>0.20367118739886947</v>
      </c>
      <c r="AK15" s="60">
        <f>IF(AND(FutureTrunkParks[[#This Row],[Hierarchy/Name]]="Local",AE15="Y"),100%,IF(AE15="Y",AK$14,""))</f>
        <v>0.31089128801268717</v>
      </c>
      <c r="AL15" s="60">
        <f>IF(AND(FutureTrunkParks[[#This Row],[Hierarchy/Name]]="Local",AF15="Y"),100%,IF(AF15="Y",AL$14,""))</f>
        <v>0.29266734789935012</v>
      </c>
      <c r="AM15" s="60">
        <f>IF(AND(FutureTrunkParks[[#This Row],[Hierarchy/Name]]="Local",AG15="Y"),100%,IF(AG15="Y",AM$14,""))</f>
        <v>0.17904056940235033</v>
      </c>
      <c r="AN15" s="60">
        <f t="shared" ref="AN15:AN27" si="10">SUM(AI15:AM15)</f>
        <v>1</v>
      </c>
      <c r="AO15" s="40"/>
      <c r="AP15" s="316">
        <f t="shared" ref="AP15:AP27" si="11">IF(AI15="","",(AI15/$AN15)*$AA15)</f>
        <v>120161.90740257825</v>
      </c>
      <c r="AQ15" s="316">
        <f t="shared" ref="AQ15:AQ27" si="12">IF(AJ15="","",(AJ15/$AN15)*$AA15)</f>
        <v>1782535.9349081528</v>
      </c>
      <c r="AR15" s="316">
        <f t="shared" ref="AR15:AR27" si="13">IF(AK15="","",(AK15/$AN15)*$AA15)</f>
        <v>2720929.2576431027</v>
      </c>
      <c r="AS15" s="316">
        <f t="shared" ref="AS15:AS27" si="14">IF(AL15="","",(AL15/$AN15)*$AA15)</f>
        <v>2561432.8235008535</v>
      </c>
      <c r="AT15" s="316">
        <f t="shared" ref="AT15:AT27" si="15">IF(AM15="","",(AM15/$AN15)*$AA15)</f>
        <v>1566968.0765453135</v>
      </c>
      <c r="AU15" s="225"/>
      <c r="AV15" s="316">
        <f t="shared" ref="AV15:AV27" si="16">IF(AI15="","",(AI15/$AN15)*$AB15)</f>
        <v>120161.90740257825</v>
      </c>
      <c r="AW15" s="316">
        <f t="shared" ref="AW15:AW27" si="17">IF(AJ15="","",(AJ15/$AN15)*$AB15)</f>
        <v>1782535.9349081528</v>
      </c>
      <c r="AX15" s="316">
        <f t="shared" ref="AX15:AX27" si="18">IF(AK15="","",(AK15/$AN15)*$AB15)</f>
        <v>2720929.2576431027</v>
      </c>
      <c r="AY15" s="316">
        <f t="shared" ref="AY15:AY27" si="19">IF(AL15="","",(AL15/$AN15)*$AB15)</f>
        <v>2561432.8235008535</v>
      </c>
      <c r="AZ15" s="316">
        <f t="shared" ref="AZ15:AZ27" si="20">IF(AM15="","",(AM15/$AN15)*$AB15)</f>
        <v>1566968.0765453135</v>
      </c>
      <c r="BA15" s="316">
        <f t="shared" ref="BA15:BA27" si="21">SUM(AV15:AZ15)</f>
        <v>8752028</v>
      </c>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row>
    <row r="16" spans="1:188" s="1" customFormat="1">
      <c r="A16" s="33"/>
      <c r="B16" s="218" t="s">
        <v>142</v>
      </c>
      <c r="C16" s="166" t="s">
        <v>160</v>
      </c>
      <c r="D16" s="166" t="s">
        <v>104</v>
      </c>
      <c r="E16" s="166" t="s">
        <v>118</v>
      </c>
      <c r="F16" s="166" t="s">
        <v>161</v>
      </c>
      <c r="G16" s="219"/>
      <c r="H16" s="167">
        <v>5000</v>
      </c>
      <c r="I16" s="56">
        <f t="shared" si="1"/>
        <v>367.00599999999997</v>
      </c>
      <c r="J16" s="220">
        <v>1835030</v>
      </c>
      <c r="K16" s="221">
        <v>426412</v>
      </c>
      <c r="L16" s="166">
        <v>2021</v>
      </c>
      <c r="M16" s="166">
        <v>1</v>
      </c>
      <c r="N16" s="62">
        <f t="shared" si="2"/>
        <v>7.4999999999999997E-2</v>
      </c>
      <c r="O16" s="63">
        <f t="shared" si="0"/>
        <v>39337</v>
      </c>
      <c r="P16" s="63">
        <f t="shared" si="3"/>
        <v>98075</v>
      </c>
      <c r="Q16" s="64">
        <f t="shared" si="4"/>
        <v>563824</v>
      </c>
      <c r="R16" s="218">
        <v>2024</v>
      </c>
      <c r="S16" s="222">
        <f t="shared" si="5"/>
        <v>2.0111853187589457E-2</v>
      </c>
      <c r="T16" s="222">
        <f t="shared" si="6"/>
        <v>1.8200000000000001E-2</v>
      </c>
      <c r="U16" s="222" t="str">
        <f>IFERROR(IF(FutureTrunkParks[[#This Row],[Year of Provision]]&gt;2024,VLOOKUP(FutureTrunkParks[[#This Row],[Service Catchment]],'Catchment Demand - LFCF'!$C$8:$M$12,11,FALSE),""),"")</f>
        <v/>
      </c>
      <c r="V16"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v>
      </c>
      <c r="W16" s="223">
        <f>IF(AND(FutureTrunkParks[[#This Row],[Spare Capacity (%)]]&gt;30%,FutureTrunkParks[[#This Row],[Share of the total Cost with the same year of provision %]]&gt;20%),(1-FutureTrunkParks[[#This Row],[Spare Capacity (%)]]),1)</f>
        <v>1</v>
      </c>
      <c r="X16" s="223">
        <f>IF(FutureTrunkParks[[#This Row],[Terminal Value Analysis]]&lt;0,0,FutureTrunkParks[[#This Row],[Terminal Value Analysis]])</f>
        <v>1</v>
      </c>
      <c r="Y16" s="65">
        <f t="shared" si="7"/>
        <v>2398854</v>
      </c>
      <c r="Z16" s="65">
        <f t="shared" si="8"/>
        <v>2543162</v>
      </c>
      <c r="AA16" s="65">
        <f t="shared" si="9"/>
        <v>2140736</v>
      </c>
      <c r="AB16" s="106">
        <f>FutureTrunkParks[[#This Row],[Net Present Value of Establishment Cost]]*FutureTrunkParks[[#This Row],[Terminal Value Adjustment (%)]]</f>
        <v>2140736</v>
      </c>
      <c r="AC16" s="310" t="str">
        <f>IF(FutureTrunkParks[[#This Row],[Hierarchy/Name]]="Local",IF(AC$13=$E16,"Y",""),"Y")</f>
        <v>Y</v>
      </c>
      <c r="AD16" s="310" t="str">
        <f>IF(FutureTrunkParks[[#This Row],[Hierarchy/Name]]="Local",IF(AD$13=$E16,"Y",""),"Y")</f>
        <v>Y</v>
      </c>
      <c r="AE16" s="310" t="str">
        <f>IF(FutureTrunkParks[[#This Row],[Hierarchy/Name]]="Local",IF(AE$13=$E16,"Y",""),"Y")</f>
        <v>Y</v>
      </c>
      <c r="AF16" s="310" t="str">
        <f>IF(FutureTrunkParks[[#This Row],[Hierarchy/Name]]="Local",IF(AF$13=$E16,"Y",""),"Y")</f>
        <v>Y</v>
      </c>
      <c r="AG16" s="310" t="str">
        <f>IF(FutureTrunkParks[[#This Row],[Hierarchy/Name]]="Local",IF(AG$13=$E16,"Y",""),"Y")</f>
        <v>Y</v>
      </c>
      <c r="AH16" s="40"/>
      <c r="AI16" s="314">
        <f>IF(AND(FutureTrunkParks[[#This Row],[Hierarchy/Name]]="Local",AC16="Y"),100%,IF(AC16="Y",AI$14,""))</f>
        <v>1.3729607286742941E-2</v>
      </c>
      <c r="AJ16" s="314">
        <f>IF(AND(FutureTrunkParks[[#This Row],[Hierarchy/Name]]="Local",AD16="Y"),100%,IF(AD16="Y",AJ$14,""))</f>
        <v>0.20367118739886947</v>
      </c>
      <c r="AK16" s="314">
        <f>IF(AND(FutureTrunkParks[[#This Row],[Hierarchy/Name]]="Local",AE16="Y"),100%,IF(AE16="Y",AK$14,""))</f>
        <v>0.31089128801268717</v>
      </c>
      <c r="AL16" s="314">
        <f>IF(AND(FutureTrunkParks[[#This Row],[Hierarchy/Name]]="Local",AF16="Y"),100%,IF(AF16="Y",AL$14,""))</f>
        <v>0.29266734789935012</v>
      </c>
      <c r="AM16" s="314">
        <f>IF(AND(FutureTrunkParks[[#This Row],[Hierarchy/Name]]="Local",AG16="Y"),100%,IF(AG16="Y",AM$14,""))</f>
        <v>0.17904056940235033</v>
      </c>
      <c r="AN16" s="314">
        <f t="shared" si="10"/>
        <v>1</v>
      </c>
      <c r="AO16" s="40"/>
      <c r="AP16" s="316">
        <f t="shared" si="11"/>
        <v>29391.464584592937</v>
      </c>
      <c r="AQ16" s="316">
        <f t="shared" si="12"/>
        <v>436006.24302750622</v>
      </c>
      <c r="AR16" s="316">
        <f t="shared" si="13"/>
        <v>665536.17233512783</v>
      </c>
      <c r="AS16" s="316">
        <f t="shared" si="14"/>
        <v>626523.52767266321</v>
      </c>
      <c r="AT16" s="316">
        <f t="shared" si="15"/>
        <v>383278.59238010983</v>
      </c>
      <c r="AU16" s="225"/>
      <c r="AV16" s="316">
        <f t="shared" si="16"/>
        <v>29391.464584592937</v>
      </c>
      <c r="AW16" s="316">
        <f t="shared" si="17"/>
        <v>436006.24302750622</v>
      </c>
      <c r="AX16" s="316">
        <f t="shared" si="18"/>
        <v>665536.17233512783</v>
      </c>
      <c r="AY16" s="316">
        <f t="shared" si="19"/>
        <v>626523.52767266321</v>
      </c>
      <c r="AZ16" s="316">
        <f t="shared" si="20"/>
        <v>383278.59238010983</v>
      </c>
      <c r="BA16" s="316">
        <f t="shared" si="21"/>
        <v>2140736</v>
      </c>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row>
    <row r="17" spans="2:53">
      <c r="B17" s="218" t="s">
        <v>162</v>
      </c>
      <c r="C17" s="166" t="s">
        <v>163</v>
      </c>
      <c r="D17" s="166" t="s">
        <v>104</v>
      </c>
      <c r="E17" s="166" t="s">
        <v>119</v>
      </c>
      <c r="F17" s="166" t="s">
        <v>164</v>
      </c>
      <c r="G17" s="219"/>
      <c r="H17" s="167">
        <v>2000</v>
      </c>
      <c r="I17" s="56">
        <f t="shared" si="1"/>
        <v>1023.3765</v>
      </c>
      <c r="J17" s="220">
        <v>2046753</v>
      </c>
      <c r="K17" s="221">
        <v>299281</v>
      </c>
      <c r="L17" s="166">
        <v>2021</v>
      </c>
      <c r="M17" s="166">
        <v>1</v>
      </c>
      <c r="N17" s="62">
        <f t="shared" si="2"/>
        <v>0.2</v>
      </c>
      <c r="O17" s="63">
        <f t="shared" si="0"/>
        <v>73623</v>
      </c>
      <c r="P17" s="63">
        <f t="shared" si="3"/>
        <v>68835</v>
      </c>
      <c r="Q17" s="64">
        <f t="shared" si="4"/>
        <v>441739</v>
      </c>
      <c r="R17" s="218">
        <v>2034</v>
      </c>
      <c r="S17" s="222">
        <f t="shared" si="5"/>
        <v>2.0111853187589457E-2</v>
      </c>
      <c r="T17" s="222">
        <f t="shared" si="6"/>
        <v>1.8200000000000001E-2</v>
      </c>
      <c r="U17" s="222">
        <f>IFERROR(IF(FutureTrunkParks[[#This Row],[Year of Provision]]&gt;2024,VLOOKUP(FutureTrunkParks[[#This Row],[Service Catchment]],'Catchment Demand - LFCF'!$C$8:$M$12,11,FALSE),""),"")</f>
        <v>0.22198657080249576</v>
      </c>
      <c r="V17"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1</v>
      </c>
      <c r="W17" s="223">
        <f>IF(AND(FutureTrunkParks[[#This Row],[Spare Capacity (%)]]&gt;30%,FutureTrunkParks[[#This Row],[Share of the total Cost with the same year of provision %]]&gt;20%),(1-FutureTrunkParks[[#This Row],[Spare Capacity (%)]]),1)</f>
        <v>1</v>
      </c>
      <c r="X17" s="223">
        <f>IF(FutureTrunkParks[[#This Row],[Terminal Value Analysis]]&lt;0,0,FutureTrunkParks[[#This Row],[Terminal Value Analysis]])</f>
        <v>1</v>
      </c>
      <c r="Y17" s="65">
        <f t="shared" si="7"/>
        <v>2488492</v>
      </c>
      <c r="Z17" s="65">
        <f t="shared" si="8"/>
        <v>3209935</v>
      </c>
      <c r="AA17" s="65">
        <f t="shared" si="9"/>
        <v>1521653</v>
      </c>
      <c r="AB17" s="106">
        <f>FutureTrunkParks[[#This Row],[Net Present Value of Establishment Cost]]*FutureTrunkParks[[#This Row],[Terminal Value Adjustment (%)]]</f>
        <v>1521653</v>
      </c>
      <c r="AC17" s="310" t="str">
        <f>IF(FutureTrunkParks[[#This Row],[Hierarchy/Name]]="Local",IF(AC$13=$E17,"Y",""),"Y")</f>
        <v>Y</v>
      </c>
      <c r="AD17" s="310" t="str">
        <f>IF(FutureTrunkParks[[#This Row],[Hierarchy/Name]]="Local",IF(AD$13=$E17,"Y",""),"Y")</f>
        <v>Y</v>
      </c>
      <c r="AE17" s="310" t="str">
        <f>IF(FutureTrunkParks[[#This Row],[Hierarchy/Name]]="Local",IF(AE$13=$E17,"Y",""),"Y")</f>
        <v>Y</v>
      </c>
      <c r="AF17" s="310" t="str">
        <f>IF(FutureTrunkParks[[#This Row],[Hierarchy/Name]]="Local",IF(AF$13=$E17,"Y",""),"Y")</f>
        <v>Y</v>
      </c>
      <c r="AG17" s="310" t="str">
        <f>IF(FutureTrunkParks[[#This Row],[Hierarchy/Name]]="Local",IF(AG$13=$E17,"Y",""),"Y")</f>
        <v>Y</v>
      </c>
      <c r="AI17" s="314">
        <f>IF(AND(FutureTrunkParks[[#This Row],[Hierarchy/Name]]="Local",AC17="Y"),100%,IF(AC17="Y",AI$14,""))</f>
        <v>1.3729607286742941E-2</v>
      </c>
      <c r="AJ17" s="314">
        <f>IF(AND(FutureTrunkParks[[#This Row],[Hierarchy/Name]]="Local",AD17="Y"),100%,IF(AD17="Y",AJ$14,""))</f>
        <v>0.20367118739886947</v>
      </c>
      <c r="AK17" s="314">
        <f>IF(AND(FutureTrunkParks[[#This Row],[Hierarchy/Name]]="Local",AE17="Y"),100%,IF(AE17="Y",AK$14,""))</f>
        <v>0.31089128801268717</v>
      </c>
      <c r="AL17" s="314">
        <f>IF(AND(FutureTrunkParks[[#This Row],[Hierarchy/Name]]="Local",AF17="Y"),100%,IF(AF17="Y",AL$14,""))</f>
        <v>0.29266734789935012</v>
      </c>
      <c r="AM17" s="314">
        <f>IF(AND(FutureTrunkParks[[#This Row],[Hierarchy/Name]]="Local",AG17="Y"),100%,IF(AG17="Y",AM$14,""))</f>
        <v>0.17904056940235033</v>
      </c>
      <c r="AN17" s="314">
        <f t="shared" si="10"/>
        <v>1</v>
      </c>
      <c r="AP17" s="316">
        <f t="shared" si="11"/>
        <v>20891.698116694257</v>
      </c>
      <c r="AQ17" s="316">
        <f t="shared" si="12"/>
        <v>309916.87331905193</v>
      </c>
      <c r="AR17" s="316">
        <f t="shared" si="13"/>
        <v>473068.66107836948</v>
      </c>
      <c r="AS17" s="316">
        <f t="shared" si="14"/>
        <v>445338.14793308981</v>
      </c>
      <c r="AT17" s="316">
        <f t="shared" si="15"/>
        <v>272437.61955279461</v>
      </c>
      <c r="AU17" s="225"/>
      <c r="AV17" s="316">
        <f t="shared" si="16"/>
        <v>20891.698116694257</v>
      </c>
      <c r="AW17" s="316">
        <f t="shared" si="17"/>
        <v>309916.87331905193</v>
      </c>
      <c r="AX17" s="316">
        <f t="shared" si="18"/>
        <v>473068.66107836948</v>
      </c>
      <c r="AY17" s="316">
        <f t="shared" si="19"/>
        <v>445338.14793308981</v>
      </c>
      <c r="AZ17" s="316">
        <f t="shared" si="20"/>
        <v>272437.61955279461</v>
      </c>
      <c r="BA17" s="316">
        <f t="shared" si="21"/>
        <v>1521653</v>
      </c>
    </row>
    <row r="18" spans="2:53">
      <c r="B18" s="218" t="s">
        <v>345</v>
      </c>
      <c r="C18" s="166" t="s">
        <v>152</v>
      </c>
      <c r="D18" s="166" t="s">
        <v>104</v>
      </c>
      <c r="E18" s="166" t="s">
        <v>119</v>
      </c>
      <c r="F18" s="166" t="s">
        <v>128</v>
      </c>
      <c r="G18" s="219"/>
      <c r="H18" s="167">
        <v>12000</v>
      </c>
      <c r="I18" s="56">
        <f t="shared" si="1"/>
        <v>64.688333333333333</v>
      </c>
      <c r="J18" s="220">
        <v>776260</v>
      </c>
      <c r="K18" s="221">
        <v>1028084</v>
      </c>
      <c r="L18" s="166">
        <v>2021</v>
      </c>
      <c r="M18" s="166">
        <v>1</v>
      </c>
      <c r="N18" s="62">
        <f t="shared" si="2"/>
        <v>0.15</v>
      </c>
      <c r="O18" s="63">
        <f t="shared" si="0"/>
        <v>189681</v>
      </c>
      <c r="P18" s="63">
        <f t="shared" si="3"/>
        <v>236459</v>
      </c>
      <c r="Q18" s="64">
        <f t="shared" si="4"/>
        <v>1454224</v>
      </c>
      <c r="R18" s="218">
        <v>2029</v>
      </c>
      <c r="S18" s="222">
        <f t="shared" si="5"/>
        <v>2.0111853187589457E-2</v>
      </c>
      <c r="T18" s="222">
        <f t="shared" si="6"/>
        <v>1.8200000000000001E-2</v>
      </c>
      <c r="U18" s="222">
        <f>IFERROR(IF(FutureTrunkParks[[#This Row],[Year of Provision]]&gt;2024,VLOOKUP(FutureTrunkParks[[#This Row],[Service Catchment]],'Catchment Demand - LFCF'!$C$8:$M$12,11,FALSE),""),"")</f>
        <v>0.22198657080249576</v>
      </c>
      <c r="V18"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3.7815399307372211E-2</v>
      </c>
      <c r="W18" s="223">
        <f>IF(AND(FutureTrunkParks[[#This Row],[Spare Capacity (%)]]&gt;30%,FutureTrunkParks[[#This Row],[Share of the total Cost with the same year of provision %]]&gt;20%),(1-FutureTrunkParks[[#This Row],[Spare Capacity (%)]]),1)</f>
        <v>1</v>
      </c>
      <c r="X18" s="223">
        <f>IF(FutureTrunkParks[[#This Row],[Terminal Value Analysis]]&lt;0,0,FutureTrunkParks[[#This Row],[Terminal Value Analysis]])</f>
        <v>1</v>
      </c>
      <c r="Y18" s="65">
        <f t="shared" si="7"/>
        <v>2230484</v>
      </c>
      <c r="Z18" s="65">
        <f t="shared" si="8"/>
        <v>2590259</v>
      </c>
      <c r="AA18" s="65">
        <f t="shared" si="9"/>
        <v>1636242</v>
      </c>
      <c r="AB18" s="106">
        <f>FutureTrunkParks[[#This Row],[Net Present Value of Establishment Cost]]*FutureTrunkParks[[#This Row],[Terminal Value Adjustment (%)]]</f>
        <v>1636242</v>
      </c>
      <c r="AC18" s="310" t="str">
        <f>IF(FutureTrunkParks[[#This Row],[Hierarchy/Name]]="Local",IF(AC$13=$E18,"Y",""),"Y")</f>
        <v>Y</v>
      </c>
      <c r="AD18" s="310" t="str">
        <f>IF(FutureTrunkParks[[#This Row],[Hierarchy/Name]]="Local",IF(AD$13=$E18,"Y",""),"Y")</f>
        <v>Y</v>
      </c>
      <c r="AE18" s="310" t="str">
        <f>IF(FutureTrunkParks[[#This Row],[Hierarchy/Name]]="Local",IF(AE$13=$E18,"Y",""),"Y")</f>
        <v>Y</v>
      </c>
      <c r="AF18" s="310" t="str">
        <f>IF(FutureTrunkParks[[#This Row],[Hierarchy/Name]]="Local",IF(AF$13=$E18,"Y",""),"Y")</f>
        <v>Y</v>
      </c>
      <c r="AG18" s="310" t="str">
        <f>IF(FutureTrunkParks[[#This Row],[Hierarchy/Name]]="Local",IF(AG$13=$E18,"Y",""),"Y")</f>
        <v>Y</v>
      </c>
      <c r="AI18" s="314">
        <f>IF(AND(FutureTrunkParks[[#This Row],[Hierarchy/Name]]="Local",AC18="Y"),100%,IF(AC18="Y",AI$14,""))</f>
        <v>1.3729607286742941E-2</v>
      </c>
      <c r="AJ18" s="314">
        <f>IF(AND(FutureTrunkParks[[#This Row],[Hierarchy/Name]]="Local",AD18="Y"),100%,IF(AD18="Y",AJ$14,""))</f>
        <v>0.20367118739886947</v>
      </c>
      <c r="AK18" s="314">
        <f>IF(AND(FutureTrunkParks[[#This Row],[Hierarchy/Name]]="Local",AE18="Y"),100%,IF(AE18="Y",AK$14,""))</f>
        <v>0.31089128801268717</v>
      </c>
      <c r="AL18" s="314">
        <f>IF(AND(FutureTrunkParks[[#This Row],[Hierarchy/Name]]="Local",AF18="Y"),100%,IF(AF18="Y",AL$14,""))</f>
        <v>0.29266734789935012</v>
      </c>
      <c r="AM18" s="314">
        <f>IF(AND(FutureTrunkParks[[#This Row],[Hierarchy/Name]]="Local",AG18="Y"),100%,IF(AG18="Y",AM$14,""))</f>
        <v>0.17904056940235033</v>
      </c>
      <c r="AN18" s="314">
        <f t="shared" si="10"/>
        <v>1</v>
      </c>
      <c r="AP18" s="316">
        <f t="shared" si="11"/>
        <v>22464.960086074843</v>
      </c>
      <c r="AQ18" s="316">
        <f t="shared" si="12"/>
        <v>333255.35101190099</v>
      </c>
      <c r="AR18" s="316">
        <f t="shared" si="13"/>
        <v>508693.38288045529</v>
      </c>
      <c r="AS18" s="316">
        <f t="shared" si="14"/>
        <v>478874.60666152841</v>
      </c>
      <c r="AT18" s="316">
        <f t="shared" si="15"/>
        <v>292953.69936004048</v>
      </c>
      <c r="AU18" s="225"/>
      <c r="AV18" s="316">
        <f t="shared" si="16"/>
        <v>22464.960086074843</v>
      </c>
      <c r="AW18" s="316">
        <f t="shared" si="17"/>
        <v>333255.35101190099</v>
      </c>
      <c r="AX18" s="316">
        <f t="shared" si="18"/>
        <v>508693.38288045529</v>
      </c>
      <c r="AY18" s="316">
        <f t="shared" si="19"/>
        <v>478874.60666152841</v>
      </c>
      <c r="AZ18" s="316">
        <f t="shared" si="20"/>
        <v>292953.69936004048</v>
      </c>
      <c r="BA18" s="316">
        <f t="shared" si="21"/>
        <v>1636242</v>
      </c>
    </row>
    <row r="19" spans="2:53">
      <c r="B19" s="218" t="s">
        <v>139</v>
      </c>
      <c r="C19" s="166" t="s">
        <v>131</v>
      </c>
      <c r="D19" s="166" t="s">
        <v>104</v>
      </c>
      <c r="E19" s="166" t="s">
        <v>120</v>
      </c>
      <c r="F19" s="166" t="s">
        <v>127</v>
      </c>
      <c r="G19" s="219"/>
      <c r="H19" s="167">
        <v>2000</v>
      </c>
      <c r="I19" s="56">
        <f t="shared" si="1"/>
        <v>0</v>
      </c>
      <c r="J19" s="220">
        <v>0</v>
      </c>
      <c r="K19" s="221">
        <v>363321</v>
      </c>
      <c r="L19" s="166">
        <v>2021</v>
      </c>
      <c r="M19" s="166">
        <v>1</v>
      </c>
      <c r="N19" s="62">
        <f t="shared" si="2"/>
        <v>7.4999999999999997E-2</v>
      </c>
      <c r="O19" s="63">
        <f t="shared" si="0"/>
        <v>33516</v>
      </c>
      <c r="P19" s="63">
        <f t="shared" si="3"/>
        <v>83564</v>
      </c>
      <c r="Q19" s="64">
        <f t="shared" si="4"/>
        <v>480401</v>
      </c>
      <c r="R19" s="218">
        <v>2024</v>
      </c>
      <c r="S19" s="222">
        <f t="shared" si="5"/>
        <v>2.0111853187589457E-2</v>
      </c>
      <c r="T19" s="222">
        <f t="shared" si="6"/>
        <v>1.8200000000000001E-2</v>
      </c>
      <c r="U19" s="222" t="str">
        <f>IFERROR(IF(FutureTrunkParks[[#This Row],[Year of Provision]]&gt;2024,VLOOKUP(FutureTrunkParks[[#This Row],[Service Catchment]],'Catchment Demand - LFCF'!$C$8:$M$12,11,FALSE),""),"")</f>
        <v/>
      </c>
      <c r="V19"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v>
      </c>
      <c r="W19" s="223">
        <f>IF(AND(FutureTrunkParks[[#This Row],[Spare Capacity (%)]]&gt;30%,FutureTrunkParks[[#This Row],[Share of the total Cost with the same year of provision %]]&gt;20%),(1-FutureTrunkParks[[#This Row],[Spare Capacity (%)]]),1)</f>
        <v>1</v>
      </c>
      <c r="X19" s="223">
        <f>IF(FutureTrunkParks[[#This Row],[Terminal Value Analysis]]&lt;0,0,FutureTrunkParks[[#This Row],[Terminal Value Analysis]])</f>
        <v>1</v>
      </c>
      <c r="Y19" s="65">
        <f t="shared" si="7"/>
        <v>480401</v>
      </c>
      <c r="Z19" s="65">
        <f t="shared" si="8"/>
        <v>507111</v>
      </c>
      <c r="AA19" s="65">
        <f t="shared" si="9"/>
        <v>426867</v>
      </c>
      <c r="AB19" s="106">
        <f>FutureTrunkParks[[#This Row],[Net Present Value of Establishment Cost]]*FutureTrunkParks[[#This Row],[Terminal Value Adjustment (%)]]</f>
        <v>426867</v>
      </c>
      <c r="AC19" s="310" t="str">
        <f>IF(FutureTrunkParks[[#This Row],[Hierarchy/Name]]="Local",IF(AC$13=$E19,"Y",""),"Y")</f>
        <v>Y</v>
      </c>
      <c r="AD19" s="310" t="str">
        <f>IF(FutureTrunkParks[[#This Row],[Hierarchy/Name]]="Local",IF(AD$13=$E19,"Y",""),"Y")</f>
        <v>Y</v>
      </c>
      <c r="AE19" s="310" t="str">
        <f>IF(FutureTrunkParks[[#This Row],[Hierarchy/Name]]="Local",IF(AE$13=$E19,"Y",""),"Y")</f>
        <v>Y</v>
      </c>
      <c r="AF19" s="310" t="str">
        <f>IF(FutureTrunkParks[[#This Row],[Hierarchy/Name]]="Local",IF(AF$13=$E19,"Y",""),"Y")</f>
        <v>Y</v>
      </c>
      <c r="AG19" s="310" t="str">
        <f>IF(FutureTrunkParks[[#This Row],[Hierarchy/Name]]="Local",IF(AG$13=$E19,"Y",""),"Y")</f>
        <v>Y</v>
      </c>
      <c r="AI19" s="314">
        <f>IF(AND(FutureTrunkParks[[#This Row],[Hierarchy/Name]]="Local",AC19="Y"),100%,IF(AC19="Y",AI$14,""))</f>
        <v>1.3729607286742941E-2</v>
      </c>
      <c r="AJ19" s="314">
        <f>IF(AND(FutureTrunkParks[[#This Row],[Hierarchy/Name]]="Local",AD19="Y"),100%,IF(AD19="Y",AJ$14,""))</f>
        <v>0.20367118739886947</v>
      </c>
      <c r="AK19" s="314">
        <f>IF(AND(FutureTrunkParks[[#This Row],[Hierarchy/Name]]="Local",AE19="Y"),100%,IF(AE19="Y",AK$14,""))</f>
        <v>0.31089128801268717</v>
      </c>
      <c r="AL19" s="314">
        <f>IF(AND(FutureTrunkParks[[#This Row],[Hierarchy/Name]]="Local",AF19="Y"),100%,IF(AF19="Y",AL$14,""))</f>
        <v>0.29266734789935012</v>
      </c>
      <c r="AM19" s="314">
        <f>IF(AND(FutureTrunkParks[[#This Row],[Hierarchy/Name]]="Local",AG19="Y"),100%,IF(AG19="Y",AM$14,""))</f>
        <v>0.17904056940235033</v>
      </c>
      <c r="AN19" s="314">
        <f t="shared" si="10"/>
        <v>1</v>
      </c>
      <c r="AP19" s="316">
        <f t="shared" si="11"/>
        <v>5860.7162736700993</v>
      </c>
      <c r="AQ19" s="316">
        <f t="shared" si="12"/>
        <v>86940.508751393209</v>
      </c>
      <c r="AR19" s="316">
        <f t="shared" si="13"/>
        <v>132709.23144011173</v>
      </c>
      <c r="AS19" s="316">
        <f t="shared" si="14"/>
        <v>124930.03279575189</v>
      </c>
      <c r="AT19" s="316">
        <f t="shared" si="15"/>
        <v>76426.510739073085</v>
      </c>
      <c r="AU19" s="225"/>
      <c r="AV19" s="316">
        <f t="shared" si="16"/>
        <v>5860.7162736700993</v>
      </c>
      <c r="AW19" s="316">
        <f t="shared" si="17"/>
        <v>86940.508751393209</v>
      </c>
      <c r="AX19" s="316">
        <f t="shared" si="18"/>
        <v>132709.23144011173</v>
      </c>
      <c r="AY19" s="316">
        <f t="shared" si="19"/>
        <v>124930.03279575189</v>
      </c>
      <c r="AZ19" s="316">
        <f t="shared" si="20"/>
        <v>76426.510739073085</v>
      </c>
      <c r="BA19" s="316">
        <f t="shared" si="21"/>
        <v>426867</v>
      </c>
    </row>
    <row r="20" spans="2:53">
      <c r="B20" s="218" t="s">
        <v>142</v>
      </c>
      <c r="C20" s="166" t="s">
        <v>124</v>
      </c>
      <c r="D20" s="166" t="s">
        <v>104</v>
      </c>
      <c r="E20" s="166" t="s">
        <v>120</v>
      </c>
      <c r="F20" s="166" t="s">
        <v>128</v>
      </c>
      <c r="G20" s="219"/>
      <c r="H20" s="167">
        <v>11800</v>
      </c>
      <c r="I20" s="56">
        <f t="shared" si="1"/>
        <v>1428</v>
      </c>
      <c r="J20" s="220">
        <v>16850400</v>
      </c>
      <c r="K20" s="221">
        <v>509752</v>
      </c>
      <c r="L20" s="166">
        <v>2021</v>
      </c>
      <c r="M20" s="166">
        <v>1</v>
      </c>
      <c r="N20" s="62">
        <f t="shared" si="2"/>
        <v>0.15</v>
      </c>
      <c r="O20" s="63">
        <f t="shared" si="0"/>
        <v>94049</v>
      </c>
      <c r="P20" s="63">
        <f t="shared" si="3"/>
        <v>117243</v>
      </c>
      <c r="Q20" s="64">
        <f t="shared" si="4"/>
        <v>721044</v>
      </c>
      <c r="R20" s="218">
        <v>2029</v>
      </c>
      <c r="S20" s="222">
        <f t="shared" si="5"/>
        <v>2.0111853187589457E-2</v>
      </c>
      <c r="T20" s="222">
        <f t="shared" si="6"/>
        <v>1.8200000000000001E-2</v>
      </c>
      <c r="U20" s="222">
        <f>IFERROR(IF(FutureTrunkParks[[#This Row],[Year of Provision]]&gt;2024,VLOOKUP(FutureTrunkParks[[#This Row],[Service Catchment]],'Catchment Demand - LFCF'!$C$8:$M$12,11,FALSE),""),"")</f>
        <v>0.13526120073940345</v>
      </c>
      <c r="V20"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1</v>
      </c>
      <c r="W20" s="223">
        <f>IF(AND(FutureTrunkParks[[#This Row],[Spare Capacity (%)]]&gt;30%,FutureTrunkParks[[#This Row],[Share of the total Cost with the same year of provision %]]&gt;20%),(1-FutureTrunkParks[[#This Row],[Spare Capacity (%)]]),1)</f>
        <v>1</v>
      </c>
      <c r="X20" s="223">
        <f>IF(FutureTrunkParks[[#This Row],[Terminal Value Analysis]]&lt;0,0,FutureTrunkParks[[#This Row],[Terminal Value Analysis]])</f>
        <v>1</v>
      </c>
      <c r="Y20" s="65">
        <f t="shared" si="7"/>
        <v>17571444</v>
      </c>
      <c r="Z20" s="65">
        <f t="shared" si="8"/>
        <v>20593220</v>
      </c>
      <c r="AA20" s="65">
        <f t="shared" si="9"/>
        <v>13008539</v>
      </c>
      <c r="AB20" s="106">
        <f>FutureTrunkParks[[#This Row],[Net Present Value of Establishment Cost]]*FutureTrunkParks[[#This Row],[Terminal Value Adjustment (%)]]</f>
        <v>13008539</v>
      </c>
      <c r="AC20" s="310" t="str">
        <f>IF(FutureTrunkParks[[#This Row],[Hierarchy/Name]]="Local",IF(AC$13=$E20,"Y",""),"Y")</f>
        <v>Y</v>
      </c>
      <c r="AD20" s="310" t="str">
        <f>IF(FutureTrunkParks[[#This Row],[Hierarchy/Name]]="Local",IF(AD$13=$E20,"Y",""),"Y")</f>
        <v>Y</v>
      </c>
      <c r="AE20" s="310" t="str">
        <f>IF(FutureTrunkParks[[#This Row],[Hierarchy/Name]]="Local",IF(AE$13=$E20,"Y",""),"Y")</f>
        <v>Y</v>
      </c>
      <c r="AF20" s="310" t="str">
        <f>IF(FutureTrunkParks[[#This Row],[Hierarchy/Name]]="Local",IF(AF$13=$E20,"Y",""),"Y")</f>
        <v>Y</v>
      </c>
      <c r="AG20" s="310" t="str">
        <f>IF(FutureTrunkParks[[#This Row],[Hierarchy/Name]]="Local",IF(AG$13=$E20,"Y",""),"Y")</f>
        <v>Y</v>
      </c>
      <c r="AI20" s="314">
        <f>IF(AND(FutureTrunkParks[[#This Row],[Hierarchy/Name]]="Local",AC20="Y"),100%,IF(AC20="Y",AI$14,""))</f>
        <v>1.3729607286742941E-2</v>
      </c>
      <c r="AJ20" s="314">
        <f>IF(AND(FutureTrunkParks[[#This Row],[Hierarchy/Name]]="Local",AD20="Y"),100%,IF(AD20="Y",AJ$14,""))</f>
        <v>0.20367118739886947</v>
      </c>
      <c r="AK20" s="314">
        <f>IF(AND(FutureTrunkParks[[#This Row],[Hierarchy/Name]]="Local",AE20="Y"),100%,IF(AE20="Y",AK$14,""))</f>
        <v>0.31089128801268717</v>
      </c>
      <c r="AL20" s="314">
        <f>IF(AND(FutureTrunkParks[[#This Row],[Hierarchy/Name]]="Local",AF20="Y"),100%,IF(AF20="Y",AL$14,""))</f>
        <v>0.29266734789935012</v>
      </c>
      <c r="AM20" s="314">
        <f>IF(AND(FutureTrunkParks[[#This Row],[Hierarchy/Name]]="Local",AG20="Y"),100%,IF(AG20="Y",AM$14,""))</f>
        <v>0.17904056940235033</v>
      </c>
      <c r="AN20" s="314">
        <f t="shared" si="10"/>
        <v>1</v>
      </c>
      <c r="AP20" s="316">
        <f t="shared" si="11"/>
        <v>178602.13184427973</v>
      </c>
      <c r="AQ20" s="316">
        <f t="shared" si="12"/>
        <v>2649464.584454502</v>
      </c>
      <c r="AR20" s="316">
        <f t="shared" si="13"/>
        <v>4044241.4448732734</v>
      </c>
      <c r="AS20" s="316">
        <f t="shared" si="14"/>
        <v>3807174.6091752639</v>
      </c>
      <c r="AT20" s="316">
        <f t="shared" si="15"/>
        <v>2329056.2296526809</v>
      </c>
      <c r="AU20" s="225"/>
      <c r="AV20" s="316">
        <f t="shared" si="16"/>
        <v>178602.13184427973</v>
      </c>
      <c r="AW20" s="316">
        <f t="shared" si="17"/>
        <v>2649464.584454502</v>
      </c>
      <c r="AX20" s="316">
        <f t="shared" si="18"/>
        <v>4044241.4448732734</v>
      </c>
      <c r="AY20" s="316">
        <f t="shared" si="19"/>
        <v>3807174.6091752639</v>
      </c>
      <c r="AZ20" s="316">
        <f t="shared" si="20"/>
        <v>2329056.2296526809</v>
      </c>
      <c r="BA20" s="316">
        <f t="shared" si="21"/>
        <v>13008539</v>
      </c>
    </row>
    <row r="21" spans="2:53">
      <c r="B21" s="218" t="s">
        <v>153</v>
      </c>
      <c r="C21" s="166" t="s">
        <v>154</v>
      </c>
      <c r="D21" s="166" t="s">
        <v>104</v>
      </c>
      <c r="E21" s="166" t="s">
        <v>117</v>
      </c>
      <c r="F21" s="166" t="s">
        <v>155</v>
      </c>
      <c r="G21" s="219"/>
      <c r="H21" s="167">
        <v>2000</v>
      </c>
      <c r="I21" s="56">
        <f t="shared" si="1"/>
        <v>2558.4414999999999</v>
      </c>
      <c r="J21" s="220">
        <v>5116883</v>
      </c>
      <c r="K21" s="221">
        <v>427497</v>
      </c>
      <c r="L21" s="166">
        <v>2021</v>
      </c>
      <c r="M21" s="166">
        <v>1</v>
      </c>
      <c r="N21" s="62">
        <f t="shared" si="2"/>
        <v>0.15</v>
      </c>
      <c r="O21" s="63">
        <f t="shared" si="0"/>
        <v>78873</v>
      </c>
      <c r="P21" s="63">
        <f t="shared" si="3"/>
        <v>98324</v>
      </c>
      <c r="Q21" s="64">
        <f t="shared" si="4"/>
        <v>604694</v>
      </c>
      <c r="R21" s="218">
        <v>2029</v>
      </c>
      <c r="S21" s="222">
        <f t="shared" si="5"/>
        <v>2.0111853187589457E-2</v>
      </c>
      <c r="T21" s="222">
        <f t="shared" si="6"/>
        <v>1.8200000000000001E-2</v>
      </c>
      <c r="U21" s="222">
        <f>IFERROR(IF(FutureTrunkParks[[#This Row],[Year of Provision]]&gt;2024,VLOOKUP(FutureTrunkParks[[#This Row],[Service Catchment]],'Catchment Demand - LFCF'!$C$8:$M$12,11,FALSE),""),"")</f>
        <v>0.21362881937309328</v>
      </c>
      <c r="V21"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0.34682181169783949</v>
      </c>
      <c r="W21" s="223">
        <f>IF(AND(FutureTrunkParks[[#This Row],[Spare Capacity (%)]]&gt;30%,FutureTrunkParks[[#This Row],[Share of the total Cost with the same year of provision %]]&gt;20%),(1-FutureTrunkParks[[#This Row],[Spare Capacity (%)]]),1)</f>
        <v>1</v>
      </c>
      <c r="X21" s="223">
        <f>IF(FutureTrunkParks[[#This Row],[Terminal Value Analysis]]&lt;0,0,FutureTrunkParks[[#This Row],[Terminal Value Analysis]])</f>
        <v>1</v>
      </c>
      <c r="Y21" s="65">
        <f t="shared" si="7"/>
        <v>5721577</v>
      </c>
      <c r="Z21" s="65">
        <f t="shared" si="8"/>
        <v>6699060</v>
      </c>
      <c r="AA21" s="65">
        <f t="shared" si="9"/>
        <v>4231732</v>
      </c>
      <c r="AB21" s="106">
        <f>FutureTrunkParks[[#This Row],[Net Present Value of Establishment Cost]]*FutureTrunkParks[[#This Row],[Terminal Value Adjustment (%)]]</f>
        <v>4231732</v>
      </c>
      <c r="AC21" s="310" t="str">
        <f>IF(FutureTrunkParks[[#This Row],[Hierarchy/Name]]="Local",IF(AC$13=$E21,"Y",""),"Y")</f>
        <v>Y</v>
      </c>
      <c r="AD21" s="310" t="str">
        <f>IF(FutureTrunkParks[[#This Row],[Hierarchy/Name]]="Local",IF(AD$13=$E21,"Y",""),"Y")</f>
        <v>Y</v>
      </c>
      <c r="AE21" s="310" t="str">
        <f>IF(FutureTrunkParks[[#This Row],[Hierarchy/Name]]="Local",IF(AE$13=$E21,"Y",""),"Y")</f>
        <v>Y</v>
      </c>
      <c r="AF21" s="310" t="str">
        <f>IF(FutureTrunkParks[[#This Row],[Hierarchy/Name]]="Local",IF(AF$13=$E21,"Y",""),"Y")</f>
        <v>Y</v>
      </c>
      <c r="AG21" s="310" t="str">
        <f>IF(FutureTrunkParks[[#This Row],[Hierarchy/Name]]="Local",IF(AG$13=$E21,"Y",""),"Y")</f>
        <v>Y</v>
      </c>
      <c r="AI21" s="314">
        <f>IF(AND(FutureTrunkParks[[#This Row],[Hierarchy/Name]]="Local",AC21="Y"),100%,IF(AC21="Y",AI$14,""))</f>
        <v>1.3729607286742941E-2</v>
      </c>
      <c r="AJ21" s="314">
        <f>IF(AND(FutureTrunkParks[[#This Row],[Hierarchy/Name]]="Local",AD21="Y"),100%,IF(AD21="Y",AJ$14,""))</f>
        <v>0.20367118739886947</v>
      </c>
      <c r="AK21" s="314">
        <f>IF(AND(FutureTrunkParks[[#This Row],[Hierarchy/Name]]="Local",AE21="Y"),100%,IF(AE21="Y",AK$14,""))</f>
        <v>0.31089128801268717</v>
      </c>
      <c r="AL21" s="314">
        <f>IF(AND(FutureTrunkParks[[#This Row],[Hierarchy/Name]]="Local",AF21="Y"),100%,IF(AF21="Y",AL$14,""))</f>
        <v>0.29266734789935012</v>
      </c>
      <c r="AM21" s="314">
        <f>IF(AND(FutureTrunkParks[[#This Row],[Hierarchy/Name]]="Local",AG21="Y"),100%,IF(AG21="Y",AM$14,""))</f>
        <v>0.17904056940235033</v>
      </c>
      <c r="AN21" s="314">
        <f t="shared" si="10"/>
        <v>1</v>
      </c>
      <c r="AP21" s="316">
        <f t="shared" si="11"/>
        <v>58100.018502743282</v>
      </c>
      <c r="AQ21" s="316">
        <f t="shared" si="12"/>
        <v>861881.88119379268</v>
      </c>
      <c r="AR21" s="316">
        <f t="shared" si="13"/>
        <v>1315608.6120045048</v>
      </c>
      <c r="AS21" s="316">
        <f t="shared" si="14"/>
        <v>1238489.7814608128</v>
      </c>
      <c r="AT21" s="316">
        <f t="shared" si="15"/>
        <v>757651.70683814678</v>
      </c>
      <c r="AU21" s="225"/>
      <c r="AV21" s="316">
        <f t="shared" si="16"/>
        <v>58100.018502743282</v>
      </c>
      <c r="AW21" s="316">
        <f t="shared" si="17"/>
        <v>861881.88119379268</v>
      </c>
      <c r="AX21" s="316">
        <f t="shared" si="18"/>
        <v>1315608.6120045048</v>
      </c>
      <c r="AY21" s="316">
        <f t="shared" si="19"/>
        <v>1238489.7814608128</v>
      </c>
      <c r="AZ21" s="316">
        <f t="shared" si="20"/>
        <v>757651.70683814678</v>
      </c>
      <c r="BA21" s="316">
        <f t="shared" si="21"/>
        <v>4231732</v>
      </c>
    </row>
    <row r="22" spans="2:53">
      <c r="B22" s="218" t="s">
        <v>150</v>
      </c>
      <c r="C22" s="166" t="s">
        <v>151</v>
      </c>
      <c r="D22" s="166" t="s">
        <v>103</v>
      </c>
      <c r="E22" s="166" t="s">
        <v>117</v>
      </c>
      <c r="F22" s="166" t="s">
        <v>129</v>
      </c>
      <c r="G22" s="219"/>
      <c r="H22" s="167">
        <v>2000</v>
      </c>
      <c r="I22" s="56">
        <f t="shared" si="1"/>
        <v>771.68700000000001</v>
      </c>
      <c r="J22" s="220">
        <v>1543374</v>
      </c>
      <c r="K22" s="221">
        <v>417077</v>
      </c>
      <c r="L22" s="166">
        <v>2021</v>
      </c>
      <c r="M22" s="166">
        <v>1</v>
      </c>
      <c r="N22" s="62">
        <f t="shared" si="2"/>
        <v>0.15</v>
      </c>
      <c r="O22" s="63">
        <f t="shared" si="0"/>
        <v>76951</v>
      </c>
      <c r="P22" s="63">
        <f t="shared" si="3"/>
        <v>95928</v>
      </c>
      <c r="Q22" s="64">
        <f t="shared" si="4"/>
        <v>589956</v>
      </c>
      <c r="R22" s="218">
        <v>2029</v>
      </c>
      <c r="S22" s="222">
        <f t="shared" si="5"/>
        <v>2.0111853187589457E-2</v>
      </c>
      <c r="T22" s="222">
        <f t="shared" si="6"/>
        <v>1.8200000000000001E-2</v>
      </c>
      <c r="U22" s="222">
        <f>IFERROR(IF(FutureTrunkParks[[#This Row],[Year of Provision]]&gt;2024,VLOOKUP(FutureTrunkParks[[#This Row],[Service Catchment]],'Catchment Demand - LFCF'!$C$8:$M$12,11,FALSE),""),"")</f>
        <v>0.21362881937309328</v>
      </c>
      <c r="V22"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0.12931493809300337</v>
      </c>
      <c r="W22" s="223">
        <f>IF(AND(FutureTrunkParks[[#This Row],[Spare Capacity (%)]]&gt;30%,FutureTrunkParks[[#This Row],[Share of the total Cost with the same year of provision %]]&gt;20%),(1-FutureTrunkParks[[#This Row],[Spare Capacity (%)]]),1)</f>
        <v>1</v>
      </c>
      <c r="X22" s="223">
        <f>IF(FutureTrunkParks[[#This Row],[Terminal Value Analysis]]&lt;0,0,FutureTrunkParks[[#This Row],[Terminal Value Analysis]])</f>
        <v>1</v>
      </c>
      <c r="Y22" s="65">
        <f t="shared" si="7"/>
        <v>2133330</v>
      </c>
      <c r="Z22" s="65">
        <f t="shared" si="8"/>
        <v>2491425</v>
      </c>
      <c r="AA22" s="65">
        <f t="shared" si="9"/>
        <v>1573809</v>
      </c>
      <c r="AB22" s="106">
        <f>FutureTrunkParks[[#This Row],[Net Present Value of Establishment Cost]]*FutureTrunkParks[[#This Row],[Terminal Value Adjustment (%)]]</f>
        <v>1573809</v>
      </c>
      <c r="AC22" s="310" t="str">
        <f>IF(FutureTrunkParks[[#This Row],[Hierarchy/Name]]="Local",IF(AC$13=$E22,"Y",""),"Y")</f>
        <v/>
      </c>
      <c r="AD22" s="310" t="str">
        <f>IF(FutureTrunkParks[[#This Row],[Hierarchy/Name]]="Local",IF(AD$13=$E22,"Y",""),"Y")</f>
        <v>Y</v>
      </c>
      <c r="AE22" s="310" t="str">
        <f>IF(FutureTrunkParks[[#This Row],[Hierarchy/Name]]="Local",IF(AE$13=$E22,"Y",""),"Y")</f>
        <v/>
      </c>
      <c r="AF22" s="310" t="str">
        <f>IF(FutureTrunkParks[[#This Row],[Hierarchy/Name]]="Local",IF(AF$13=$E22,"Y",""),"Y")</f>
        <v/>
      </c>
      <c r="AG22" s="310" t="str">
        <f>IF(FutureTrunkParks[[#This Row],[Hierarchy/Name]]="Local",IF(AG$13=$E22,"Y",""),"Y")</f>
        <v/>
      </c>
      <c r="AI22" s="314" t="str">
        <f>IF(AND(FutureTrunkParks[[#This Row],[Hierarchy/Name]]="Local",AC22="Y"),100%,IF(AC22="Y",AI$14,""))</f>
        <v/>
      </c>
      <c r="AJ22" s="314">
        <f>IF(AND(FutureTrunkParks[[#This Row],[Hierarchy/Name]]="Local",AD22="Y"),100%,IF(AD22="Y",AJ$14,""))</f>
        <v>1</v>
      </c>
      <c r="AK22" s="314" t="str">
        <f>IF(AND(FutureTrunkParks[[#This Row],[Hierarchy/Name]]="Local",AE22="Y"),100%,IF(AE22="Y",AK$14,""))</f>
        <v/>
      </c>
      <c r="AL22" s="314" t="str">
        <f>IF(AND(FutureTrunkParks[[#This Row],[Hierarchy/Name]]="Local",AF22="Y"),100%,IF(AF22="Y",AL$14,""))</f>
        <v/>
      </c>
      <c r="AM22" s="314" t="str">
        <f>IF(AND(FutureTrunkParks[[#This Row],[Hierarchy/Name]]="Local",AG22="Y"),100%,IF(AG22="Y",AM$14,""))</f>
        <v/>
      </c>
      <c r="AN22" s="314">
        <f t="shared" si="10"/>
        <v>1</v>
      </c>
      <c r="AP22" s="316" t="str">
        <f t="shared" si="11"/>
        <v/>
      </c>
      <c r="AQ22" s="316">
        <f t="shared" si="12"/>
        <v>1573809</v>
      </c>
      <c r="AR22" s="316" t="str">
        <f t="shared" si="13"/>
        <v/>
      </c>
      <c r="AS22" s="316" t="str">
        <f t="shared" si="14"/>
        <v/>
      </c>
      <c r="AT22" s="316" t="str">
        <f t="shared" si="15"/>
        <v/>
      </c>
      <c r="AU22" s="225"/>
      <c r="AV22" s="316" t="str">
        <f t="shared" si="16"/>
        <v/>
      </c>
      <c r="AW22" s="316">
        <f t="shared" si="17"/>
        <v>1573809</v>
      </c>
      <c r="AX22" s="316" t="str">
        <f t="shared" si="18"/>
        <v/>
      </c>
      <c r="AY22" s="316" t="str">
        <f t="shared" si="19"/>
        <v/>
      </c>
      <c r="AZ22" s="316" t="str">
        <f t="shared" si="20"/>
        <v/>
      </c>
      <c r="BA22" s="316">
        <f t="shared" si="21"/>
        <v>1573809</v>
      </c>
    </row>
    <row r="23" spans="2:53">
      <c r="B23" s="218" t="s">
        <v>144</v>
      </c>
      <c r="C23" s="166" t="s">
        <v>145</v>
      </c>
      <c r="D23" s="166" t="s">
        <v>146</v>
      </c>
      <c r="E23" s="166" t="s">
        <v>119</v>
      </c>
      <c r="F23" s="166" t="s">
        <v>147</v>
      </c>
      <c r="G23" s="219"/>
      <c r="H23" s="167">
        <v>20000</v>
      </c>
      <c r="I23" s="56">
        <f t="shared" si="1"/>
        <v>2558.44155</v>
      </c>
      <c r="J23" s="220">
        <v>51168831</v>
      </c>
      <c r="K23" s="221">
        <v>660603</v>
      </c>
      <c r="L23" s="166">
        <v>2021</v>
      </c>
      <c r="M23" s="166">
        <v>1</v>
      </c>
      <c r="N23" s="62">
        <f t="shared" si="2"/>
        <v>0.15</v>
      </c>
      <c r="O23" s="63">
        <f t="shared" si="0"/>
        <v>121881</v>
      </c>
      <c r="P23" s="63">
        <f t="shared" si="3"/>
        <v>151939</v>
      </c>
      <c r="Q23" s="64">
        <f t="shared" si="4"/>
        <v>934423</v>
      </c>
      <c r="R23" s="218">
        <v>2029</v>
      </c>
      <c r="S23" s="222">
        <f t="shared" si="5"/>
        <v>2.0111853187589457E-2</v>
      </c>
      <c r="T23" s="222">
        <f t="shared" si="6"/>
        <v>1.8200000000000001E-2</v>
      </c>
      <c r="U23" s="222">
        <f>IFERROR(IF(FutureTrunkParks[[#This Row],[Year of Provision]]&gt;2024,VLOOKUP(FutureTrunkParks[[#This Row],[Service Catchment]],'Catchment Demand - LFCF'!$C$8:$M$12,11,FALSE),""),"")</f>
        <v>0.22198657080249576</v>
      </c>
      <c r="V23"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0.88335327902977046</v>
      </c>
      <c r="W23" s="223">
        <f>IF(AND(FutureTrunkParks[[#This Row],[Spare Capacity (%)]]&gt;30%,FutureTrunkParks[[#This Row],[Share of the total Cost with the same year of provision %]]&gt;20%),(1-FutureTrunkParks[[#This Row],[Spare Capacity (%)]]),1)</f>
        <v>1</v>
      </c>
      <c r="X23" s="223">
        <f>IF(FutureTrunkParks[[#This Row],[Terminal Value Analysis]]&lt;0,0,FutureTrunkParks[[#This Row],[Terminal Value Analysis]])</f>
        <v>1</v>
      </c>
      <c r="Y23" s="65">
        <f t="shared" si="7"/>
        <v>52103254</v>
      </c>
      <c r="Z23" s="65">
        <f t="shared" si="8"/>
        <v>61084520</v>
      </c>
      <c r="AA23" s="65">
        <f t="shared" si="9"/>
        <v>38586503</v>
      </c>
      <c r="AB23" s="106">
        <f>FutureTrunkParks[[#This Row],[Net Present Value of Establishment Cost]]*FutureTrunkParks[[#This Row],[Terminal Value Adjustment (%)]]</f>
        <v>38586503</v>
      </c>
      <c r="AC23" s="310" t="str">
        <f>IF(FutureTrunkParks[[#This Row],[Hierarchy/Name]]="Local",IF(AC$13=$E23,"Y",""),"Y")</f>
        <v>Y</v>
      </c>
      <c r="AD23" s="310" t="str">
        <f>IF(FutureTrunkParks[[#This Row],[Hierarchy/Name]]="Local",IF(AD$13=$E23,"Y",""),"Y")</f>
        <v>Y</v>
      </c>
      <c r="AE23" s="310" t="str">
        <f>IF(FutureTrunkParks[[#This Row],[Hierarchy/Name]]="Local",IF(AE$13=$E23,"Y",""),"Y")</f>
        <v>Y</v>
      </c>
      <c r="AF23" s="310" t="str">
        <f>IF(FutureTrunkParks[[#This Row],[Hierarchy/Name]]="Local",IF(AF$13=$E23,"Y",""),"Y")</f>
        <v>Y</v>
      </c>
      <c r="AG23" s="310" t="str">
        <f>IF(FutureTrunkParks[[#This Row],[Hierarchy/Name]]="Local",IF(AG$13=$E23,"Y",""),"Y")</f>
        <v>Y</v>
      </c>
      <c r="AI23" s="314">
        <f>IF(AND(FutureTrunkParks[[#This Row],[Hierarchy/Name]]="Local",AC23="Y"),100%,IF(AC23="Y",AI$14,""))</f>
        <v>1.3729607286742941E-2</v>
      </c>
      <c r="AJ23" s="314">
        <f>IF(AND(FutureTrunkParks[[#This Row],[Hierarchy/Name]]="Local",AD23="Y"),100%,IF(AD23="Y",AJ$14,""))</f>
        <v>0.20367118739886947</v>
      </c>
      <c r="AK23" s="314">
        <f>IF(AND(FutureTrunkParks[[#This Row],[Hierarchy/Name]]="Local",AE23="Y"),100%,IF(AE23="Y",AK$14,""))</f>
        <v>0.31089128801268717</v>
      </c>
      <c r="AL23" s="314">
        <f>IF(AND(FutureTrunkParks[[#This Row],[Hierarchy/Name]]="Local",AF23="Y"),100%,IF(AF23="Y",AL$14,""))</f>
        <v>0.29266734789935012</v>
      </c>
      <c r="AM23" s="314">
        <f>IF(AND(FutureTrunkParks[[#This Row],[Hierarchy/Name]]="Local",AG23="Y"),100%,IF(AG23="Y",AM$14,""))</f>
        <v>0.17904056940235033</v>
      </c>
      <c r="AN23" s="314">
        <f t="shared" si="10"/>
        <v>1</v>
      </c>
      <c r="AP23" s="316">
        <f t="shared" si="11"/>
        <v>529777.53275872837</v>
      </c>
      <c r="AQ23" s="316">
        <f t="shared" si="12"/>
        <v>7858958.8835800393</v>
      </c>
      <c r="AR23" s="316">
        <f t="shared" si="13"/>
        <v>11996207.617575418</v>
      </c>
      <c r="AS23" s="316">
        <f t="shared" si="14"/>
        <v>11293009.497720316</v>
      </c>
      <c r="AT23" s="316">
        <f t="shared" si="15"/>
        <v>6908549.4683654988</v>
      </c>
      <c r="AU23" s="225"/>
      <c r="AV23" s="316">
        <f t="shared" si="16"/>
        <v>529777.53275872837</v>
      </c>
      <c r="AW23" s="316">
        <f t="shared" si="17"/>
        <v>7858958.8835800393</v>
      </c>
      <c r="AX23" s="316">
        <f t="shared" si="18"/>
        <v>11996207.617575418</v>
      </c>
      <c r="AY23" s="316">
        <f t="shared" si="19"/>
        <v>11293009.497720316</v>
      </c>
      <c r="AZ23" s="316">
        <f t="shared" si="20"/>
        <v>6908549.4683654988</v>
      </c>
      <c r="BA23" s="316">
        <f t="shared" si="21"/>
        <v>38586503</v>
      </c>
    </row>
    <row r="24" spans="2:53">
      <c r="B24" s="218" t="s">
        <v>349</v>
      </c>
      <c r="C24" s="166" t="s">
        <v>380</v>
      </c>
      <c r="D24" s="166" t="s">
        <v>104</v>
      </c>
      <c r="E24" s="166" t="s">
        <v>120</v>
      </c>
      <c r="F24" s="166" t="s">
        <v>159</v>
      </c>
      <c r="G24" s="219"/>
      <c r="H24" s="167">
        <v>10000</v>
      </c>
      <c r="I24" s="56">
        <f t="shared" si="1"/>
        <v>1895.1419000000001</v>
      </c>
      <c r="J24" s="220">
        <v>18951419</v>
      </c>
      <c r="K24" s="221">
        <v>1844954</v>
      </c>
      <c r="L24" s="166">
        <v>2021</v>
      </c>
      <c r="M24" s="166">
        <v>1</v>
      </c>
      <c r="N24" s="62">
        <f t="shared" si="2"/>
        <v>0.2</v>
      </c>
      <c r="O24" s="63">
        <f t="shared" si="0"/>
        <v>453859</v>
      </c>
      <c r="P24" s="63">
        <f t="shared" si="3"/>
        <v>424339</v>
      </c>
      <c r="Q24" s="64">
        <f t="shared" si="4"/>
        <v>2723152</v>
      </c>
      <c r="R24" s="218">
        <v>2034</v>
      </c>
      <c r="S24" s="222">
        <f t="shared" si="5"/>
        <v>2.0111853187589457E-2</v>
      </c>
      <c r="T24" s="222">
        <f t="shared" si="6"/>
        <v>1.8200000000000001E-2</v>
      </c>
      <c r="U24" s="222">
        <f>IFERROR(IF(FutureTrunkParks[[#This Row],[Year of Provision]]&gt;2024,VLOOKUP(FutureTrunkParks[[#This Row],[Service Catchment]],'Catchment Demand - LFCF'!$C$8:$M$12,11,FALSE),""),"")</f>
        <v>0.13526120073940345</v>
      </c>
      <c r="V24"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1</v>
      </c>
      <c r="W24" s="223">
        <f>IF(AND(FutureTrunkParks[[#This Row],[Spare Capacity (%)]]&gt;30%,FutureTrunkParks[[#This Row],[Share of the total Cost with the same year of provision %]]&gt;20%),(1-FutureTrunkParks[[#This Row],[Spare Capacity (%)]]),1)</f>
        <v>1</v>
      </c>
      <c r="X24" s="223">
        <f>IF(FutureTrunkParks[[#This Row],[Terminal Value Analysis]]&lt;0,0,FutureTrunkParks[[#This Row],[Terminal Value Analysis]])</f>
        <v>1</v>
      </c>
      <c r="Y24" s="65">
        <f t="shared" si="7"/>
        <v>21674571</v>
      </c>
      <c r="Z24" s="65">
        <f t="shared" si="8"/>
        <v>27993376</v>
      </c>
      <c r="AA24" s="65">
        <f t="shared" si="9"/>
        <v>13270115</v>
      </c>
      <c r="AB24" s="106">
        <f>FutureTrunkParks[[#This Row],[Net Present Value of Establishment Cost]]*FutureTrunkParks[[#This Row],[Terminal Value Adjustment (%)]]</f>
        <v>13270115</v>
      </c>
      <c r="AC24" s="310" t="str">
        <f>IF(FutureTrunkParks[[#This Row],[Hierarchy/Name]]="Local",IF(AC$13=$E24,"Y",""),"Y")</f>
        <v>Y</v>
      </c>
      <c r="AD24" s="310" t="str">
        <f>IF(FutureTrunkParks[[#This Row],[Hierarchy/Name]]="Local",IF(AD$13=$E24,"Y",""),"Y")</f>
        <v>Y</v>
      </c>
      <c r="AE24" s="310" t="str">
        <f>IF(FutureTrunkParks[[#This Row],[Hierarchy/Name]]="Local",IF(AE$13=$E24,"Y",""),"Y")</f>
        <v>Y</v>
      </c>
      <c r="AF24" s="310" t="str">
        <f>IF(FutureTrunkParks[[#This Row],[Hierarchy/Name]]="Local",IF(AF$13=$E24,"Y",""),"Y")</f>
        <v>Y</v>
      </c>
      <c r="AG24" s="310" t="str">
        <f>IF(FutureTrunkParks[[#This Row],[Hierarchy/Name]]="Local",IF(AG$13=$E24,"Y",""),"Y")</f>
        <v>Y</v>
      </c>
      <c r="AI24" s="314">
        <f>IF(AND(FutureTrunkParks[[#This Row],[Hierarchy/Name]]="Local",AC24="Y"),100%,IF(AC24="Y",AI$14,""))</f>
        <v>1.3729607286742941E-2</v>
      </c>
      <c r="AJ24" s="314">
        <f>IF(AND(FutureTrunkParks[[#This Row],[Hierarchy/Name]]="Local",AD24="Y"),100%,IF(AD24="Y",AJ$14,""))</f>
        <v>0.20367118739886947</v>
      </c>
      <c r="AK24" s="314">
        <f>IF(AND(FutureTrunkParks[[#This Row],[Hierarchy/Name]]="Local",AE24="Y"),100%,IF(AE24="Y",AK$14,""))</f>
        <v>0.31089128801268717</v>
      </c>
      <c r="AL24" s="314">
        <f>IF(AND(FutureTrunkParks[[#This Row],[Hierarchy/Name]]="Local",AF24="Y"),100%,IF(AF24="Y",AL$14,""))</f>
        <v>0.29266734789935012</v>
      </c>
      <c r="AM24" s="314">
        <f>IF(AND(FutureTrunkParks[[#This Row],[Hierarchy/Name]]="Local",AG24="Y"),100%,IF(AG24="Y",AM$14,""))</f>
        <v>0.17904056940235033</v>
      </c>
      <c r="AN24" s="314">
        <f t="shared" si="10"/>
        <v>1</v>
      </c>
      <c r="AP24" s="316">
        <f t="shared" si="11"/>
        <v>182193.4675999168</v>
      </c>
      <c r="AQ24" s="316">
        <f t="shared" si="12"/>
        <v>2702740.0789695489</v>
      </c>
      <c r="AR24" s="316">
        <f t="shared" si="13"/>
        <v>4125563.1444264804</v>
      </c>
      <c r="AS24" s="316">
        <f t="shared" si="14"/>
        <v>3883729.3633693843</v>
      </c>
      <c r="AT24" s="316">
        <f t="shared" si="15"/>
        <v>2375888.9456346701</v>
      </c>
      <c r="AU24" s="225"/>
      <c r="AV24" s="316">
        <f t="shared" si="16"/>
        <v>182193.4675999168</v>
      </c>
      <c r="AW24" s="316">
        <f t="shared" si="17"/>
        <v>2702740.0789695489</v>
      </c>
      <c r="AX24" s="316">
        <f t="shared" si="18"/>
        <v>4125563.1444264804</v>
      </c>
      <c r="AY24" s="316">
        <f t="shared" si="19"/>
        <v>3883729.3633693843</v>
      </c>
      <c r="AZ24" s="316">
        <f t="shared" si="20"/>
        <v>2375888.9456346701</v>
      </c>
      <c r="BA24" s="316">
        <f t="shared" si="21"/>
        <v>13270115.000000002</v>
      </c>
    </row>
    <row r="25" spans="2:53">
      <c r="B25" s="218" t="s">
        <v>156</v>
      </c>
      <c r="C25" s="166" t="s">
        <v>157</v>
      </c>
      <c r="D25" s="166" t="s">
        <v>104</v>
      </c>
      <c r="E25" s="166" t="s">
        <v>117</v>
      </c>
      <c r="F25" s="166" t="s">
        <v>155</v>
      </c>
      <c r="G25" s="219"/>
      <c r="H25" s="167">
        <v>3000</v>
      </c>
      <c r="I25" s="56">
        <f t="shared" si="1"/>
        <v>2558.4416666666666</v>
      </c>
      <c r="J25" s="220">
        <v>7675325</v>
      </c>
      <c r="K25" s="221">
        <v>683587</v>
      </c>
      <c r="L25" s="166">
        <v>2021</v>
      </c>
      <c r="M25" s="166">
        <v>1</v>
      </c>
      <c r="N25" s="62">
        <f t="shared" si="2"/>
        <v>0.15</v>
      </c>
      <c r="O25" s="63">
        <f t="shared" si="0"/>
        <v>126122</v>
      </c>
      <c r="P25" s="63">
        <f t="shared" si="3"/>
        <v>157225</v>
      </c>
      <c r="Q25" s="64">
        <f t="shared" si="4"/>
        <v>966934</v>
      </c>
      <c r="R25" s="218">
        <v>2029</v>
      </c>
      <c r="S25" s="222">
        <f t="shared" si="5"/>
        <v>2.0111853187589457E-2</v>
      </c>
      <c r="T25" s="222">
        <f t="shared" si="6"/>
        <v>1.8200000000000001E-2</v>
      </c>
      <c r="U25" s="222">
        <f>IFERROR(IF(FutureTrunkParks[[#This Row],[Year of Provision]]&gt;2024,VLOOKUP(FutureTrunkParks[[#This Row],[Service Catchment]],'Catchment Demand - LFCF'!$C$8:$M$12,11,FALSE),""),"")</f>
        <v>0.21362881937309328</v>
      </c>
      <c r="V25"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0.52386325020915714</v>
      </c>
      <c r="W25" s="223">
        <f>IF(AND(FutureTrunkParks[[#This Row],[Spare Capacity (%)]]&gt;30%,FutureTrunkParks[[#This Row],[Share of the total Cost with the same year of provision %]]&gt;20%),(1-FutureTrunkParks[[#This Row],[Spare Capacity (%)]]),1)</f>
        <v>1</v>
      </c>
      <c r="X25" s="223">
        <f>IF(FutureTrunkParks[[#This Row],[Terminal Value Analysis]]&lt;0,0,FutureTrunkParks[[#This Row],[Terminal Value Analysis]])</f>
        <v>1</v>
      </c>
      <c r="Y25" s="65">
        <f t="shared" si="7"/>
        <v>8642259</v>
      </c>
      <c r="Z25" s="65">
        <f t="shared" si="8"/>
        <v>10117780</v>
      </c>
      <c r="AA25" s="65">
        <f t="shared" si="9"/>
        <v>6391304</v>
      </c>
      <c r="AB25" s="106">
        <f>FutureTrunkParks[[#This Row],[Net Present Value of Establishment Cost]]*FutureTrunkParks[[#This Row],[Terminal Value Adjustment (%)]]</f>
        <v>6391304</v>
      </c>
      <c r="AC25" s="310" t="str">
        <f>IF(FutureTrunkParks[[#This Row],[Hierarchy/Name]]="Local",IF(AC$13=$E25,"Y",""),"Y")</f>
        <v>Y</v>
      </c>
      <c r="AD25" s="310" t="str">
        <f>IF(FutureTrunkParks[[#This Row],[Hierarchy/Name]]="Local",IF(AD$13=$E25,"Y",""),"Y")</f>
        <v>Y</v>
      </c>
      <c r="AE25" s="310" t="str">
        <f>IF(FutureTrunkParks[[#This Row],[Hierarchy/Name]]="Local",IF(AE$13=$E25,"Y",""),"Y")</f>
        <v>Y</v>
      </c>
      <c r="AF25" s="310" t="str">
        <f>IF(FutureTrunkParks[[#This Row],[Hierarchy/Name]]="Local",IF(AF$13=$E25,"Y",""),"Y")</f>
        <v>Y</v>
      </c>
      <c r="AG25" s="310" t="str">
        <f>IF(FutureTrunkParks[[#This Row],[Hierarchy/Name]]="Local",IF(AG$13=$E25,"Y",""),"Y")</f>
        <v>Y</v>
      </c>
      <c r="AI25" s="314">
        <f>IF(AND(FutureTrunkParks[[#This Row],[Hierarchy/Name]]="Local",AC25="Y"),100%,IF(AC25="Y",AI$14,""))</f>
        <v>1.3729607286742941E-2</v>
      </c>
      <c r="AJ25" s="314">
        <f>IF(AND(FutureTrunkParks[[#This Row],[Hierarchy/Name]]="Local",AD25="Y"),100%,IF(AD25="Y",AJ$14,""))</f>
        <v>0.20367118739886947</v>
      </c>
      <c r="AK25" s="314">
        <f>IF(AND(FutureTrunkParks[[#This Row],[Hierarchy/Name]]="Local",AE25="Y"),100%,IF(AE25="Y",AK$14,""))</f>
        <v>0.31089128801268717</v>
      </c>
      <c r="AL25" s="314">
        <f>IF(AND(FutureTrunkParks[[#This Row],[Hierarchy/Name]]="Local",AF25="Y"),100%,IF(AF25="Y",AL$14,""))</f>
        <v>0.29266734789935012</v>
      </c>
      <c r="AM25" s="314">
        <f>IF(AND(FutureTrunkParks[[#This Row],[Hierarchy/Name]]="Local",AG25="Y"),100%,IF(AG25="Y",AM$14,""))</f>
        <v>0.17904056940235033</v>
      </c>
      <c r="AN25" s="314">
        <f t="shared" si="10"/>
        <v>1</v>
      </c>
      <c r="AP25" s="316">
        <f t="shared" si="11"/>
        <v>87750.093970189308</v>
      </c>
      <c r="AQ25" s="316">
        <f t="shared" si="12"/>
        <v>1301724.4747071441</v>
      </c>
      <c r="AR25" s="316">
        <f t="shared" si="13"/>
        <v>1987000.7326406396</v>
      </c>
      <c r="AS25" s="316">
        <f t="shared" si="14"/>
        <v>1870525.9912985079</v>
      </c>
      <c r="AT25" s="316">
        <f t="shared" si="15"/>
        <v>1144302.7073835193</v>
      </c>
      <c r="AU25" s="225"/>
      <c r="AV25" s="316">
        <f t="shared" si="16"/>
        <v>87750.093970189308</v>
      </c>
      <c r="AW25" s="316">
        <f t="shared" si="17"/>
        <v>1301724.4747071441</v>
      </c>
      <c r="AX25" s="316">
        <f t="shared" si="18"/>
        <v>1987000.7326406396</v>
      </c>
      <c r="AY25" s="316">
        <f t="shared" si="19"/>
        <v>1870525.9912985079</v>
      </c>
      <c r="AZ25" s="316">
        <f t="shared" si="20"/>
        <v>1144302.7073835193</v>
      </c>
      <c r="BA25" s="316">
        <f t="shared" si="21"/>
        <v>6391304</v>
      </c>
    </row>
    <row r="26" spans="2:53">
      <c r="B26" s="218" t="s">
        <v>144</v>
      </c>
      <c r="C26" s="166" t="s">
        <v>125</v>
      </c>
      <c r="D26" s="166" t="s">
        <v>104</v>
      </c>
      <c r="E26" s="166" t="s">
        <v>119</v>
      </c>
      <c r="F26" s="166" t="s">
        <v>130</v>
      </c>
      <c r="G26" s="219"/>
      <c r="H26" s="167">
        <v>1800</v>
      </c>
      <c r="I26" s="56">
        <f t="shared" si="1"/>
        <v>2411</v>
      </c>
      <c r="J26" s="220">
        <v>4339800</v>
      </c>
      <c r="K26" s="221">
        <v>219120</v>
      </c>
      <c r="L26" s="166">
        <v>2021</v>
      </c>
      <c r="M26" s="166">
        <v>1</v>
      </c>
      <c r="N26" s="62">
        <f t="shared" si="2"/>
        <v>0.15</v>
      </c>
      <c r="O26" s="63">
        <f t="shared" si="0"/>
        <v>40428</v>
      </c>
      <c r="P26" s="63">
        <f t="shared" si="3"/>
        <v>50398</v>
      </c>
      <c r="Q26" s="64">
        <f t="shared" si="4"/>
        <v>309946</v>
      </c>
      <c r="R26" s="218">
        <v>2029</v>
      </c>
      <c r="S26" s="222">
        <f t="shared" si="5"/>
        <v>2.0111853187589457E-2</v>
      </c>
      <c r="T26" s="222">
        <f t="shared" si="6"/>
        <v>1.8200000000000001E-2</v>
      </c>
      <c r="U26" s="222">
        <f>IFERROR(IF(FutureTrunkParks[[#This Row],[Year of Provision]]&gt;2024,VLOOKUP(FutureTrunkParks[[#This Row],[Service Catchment]],'Catchment Demand - LFCF'!$C$8:$M$12,11,FALSE),""),"")</f>
        <v>0.22198657080249576</v>
      </c>
      <c r="V26"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7.8831321662857348E-2</v>
      </c>
      <c r="W26" s="223">
        <f>IF(AND(FutureTrunkParks[[#This Row],[Spare Capacity (%)]]&gt;30%,FutureTrunkParks[[#This Row],[Share of the total Cost with the same year of provision %]]&gt;20%),(1-FutureTrunkParks[[#This Row],[Spare Capacity (%)]]),1)</f>
        <v>1</v>
      </c>
      <c r="X26" s="223">
        <f>IF(FutureTrunkParks[[#This Row],[Terminal Value Analysis]]&lt;0,0,FutureTrunkParks[[#This Row],[Terminal Value Analysis]])</f>
        <v>1</v>
      </c>
      <c r="Y26" s="65">
        <f t="shared" si="7"/>
        <v>4649746</v>
      </c>
      <c r="Z26" s="65">
        <f t="shared" si="8"/>
        <v>5447286</v>
      </c>
      <c r="AA26" s="65">
        <f t="shared" si="9"/>
        <v>3440998</v>
      </c>
      <c r="AB26" s="106">
        <f>FutureTrunkParks[[#This Row],[Net Present Value of Establishment Cost]]*FutureTrunkParks[[#This Row],[Terminal Value Adjustment (%)]]</f>
        <v>3440998</v>
      </c>
      <c r="AC26" s="310" t="str">
        <f>IF(FutureTrunkParks[[#This Row],[Hierarchy/Name]]="Local",IF(AC$13=$E26,"Y",""),"Y")</f>
        <v>Y</v>
      </c>
      <c r="AD26" s="310" t="str">
        <f>IF(FutureTrunkParks[[#This Row],[Hierarchy/Name]]="Local",IF(AD$13=$E26,"Y",""),"Y")</f>
        <v>Y</v>
      </c>
      <c r="AE26" s="310" t="str">
        <f>IF(FutureTrunkParks[[#This Row],[Hierarchy/Name]]="Local",IF(AE$13=$E26,"Y",""),"Y")</f>
        <v>Y</v>
      </c>
      <c r="AF26" s="310" t="str">
        <f>IF(FutureTrunkParks[[#This Row],[Hierarchy/Name]]="Local",IF(AF$13=$E26,"Y",""),"Y")</f>
        <v>Y</v>
      </c>
      <c r="AG26" s="310" t="str">
        <f>IF(FutureTrunkParks[[#This Row],[Hierarchy/Name]]="Local",IF(AG$13=$E26,"Y",""),"Y")</f>
        <v>Y</v>
      </c>
      <c r="AI26" s="314">
        <f>IF(AND(FutureTrunkParks[[#This Row],[Hierarchy/Name]]="Local",AC26="Y"),100%,IF(AC26="Y",AI$14,""))</f>
        <v>1.3729607286742941E-2</v>
      </c>
      <c r="AJ26" s="314">
        <f>IF(AND(FutureTrunkParks[[#This Row],[Hierarchy/Name]]="Local",AD26="Y"),100%,IF(AD26="Y",AJ$14,""))</f>
        <v>0.20367118739886947</v>
      </c>
      <c r="AK26" s="314">
        <f>IF(AND(FutureTrunkParks[[#This Row],[Hierarchy/Name]]="Local",AE26="Y"),100%,IF(AE26="Y",AK$14,""))</f>
        <v>0.31089128801268717</v>
      </c>
      <c r="AL26" s="314">
        <f>IF(AND(FutureTrunkParks[[#This Row],[Hierarchy/Name]]="Local",AF26="Y"),100%,IF(AF26="Y",AL$14,""))</f>
        <v>0.29266734789935012</v>
      </c>
      <c r="AM26" s="314">
        <f>IF(AND(FutureTrunkParks[[#This Row],[Hierarchy/Name]]="Local",AG26="Y"),100%,IF(AG26="Y",AM$14,""))</f>
        <v>0.17904056940235033</v>
      </c>
      <c r="AN26" s="314">
        <f t="shared" si="10"/>
        <v>1</v>
      </c>
      <c r="AP26" s="316">
        <f t="shared" si="11"/>
        <v>47243.551214467887</v>
      </c>
      <c r="AQ26" s="316">
        <f t="shared" si="12"/>
        <v>700832.14849713503</v>
      </c>
      <c r="AR26" s="316">
        <f t="shared" si="13"/>
        <v>1069776.3002690806</v>
      </c>
      <c r="AS26" s="316">
        <f t="shared" si="14"/>
        <v>1007067.758786968</v>
      </c>
      <c r="AT26" s="316">
        <f t="shared" si="15"/>
        <v>616078.24123234872</v>
      </c>
      <c r="AU26" s="225"/>
      <c r="AV26" s="316">
        <f t="shared" si="16"/>
        <v>47243.551214467887</v>
      </c>
      <c r="AW26" s="316">
        <f t="shared" si="17"/>
        <v>700832.14849713503</v>
      </c>
      <c r="AX26" s="316">
        <f t="shared" si="18"/>
        <v>1069776.3002690806</v>
      </c>
      <c r="AY26" s="316">
        <f t="shared" si="19"/>
        <v>1007067.758786968</v>
      </c>
      <c r="AZ26" s="316">
        <f t="shared" si="20"/>
        <v>616078.24123234872</v>
      </c>
      <c r="BA26" s="316">
        <f t="shared" si="21"/>
        <v>3440998</v>
      </c>
    </row>
    <row r="27" spans="2:53" ht="17.25" thickBot="1">
      <c r="B27" s="218" t="s">
        <v>143</v>
      </c>
      <c r="C27" s="166" t="s">
        <v>126</v>
      </c>
      <c r="D27" s="166" t="s">
        <v>103</v>
      </c>
      <c r="E27" s="166" t="s">
        <v>118</v>
      </c>
      <c r="F27" s="166" t="s">
        <v>129</v>
      </c>
      <c r="G27" s="219"/>
      <c r="H27" s="167">
        <v>1800</v>
      </c>
      <c r="I27" s="56">
        <f t="shared" si="1"/>
        <v>2454</v>
      </c>
      <c r="J27" s="220">
        <v>4417200</v>
      </c>
      <c r="K27" s="221">
        <v>315831</v>
      </c>
      <c r="L27" s="166">
        <v>2021</v>
      </c>
      <c r="M27" s="166">
        <v>1</v>
      </c>
      <c r="N27" s="62">
        <f t="shared" si="2"/>
        <v>7.4999999999999997E-2</v>
      </c>
      <c r="O27" s="63">
        <f t="shared" si="0"/>
        <v>29135</v>
      </c>
      <c r="P27" s="63">
        <f t="shared" si="3"/>
        <v>72641</v>
      </c>
      <c r="Q27" s="64">
        <f t="shared" si="4"/>
        <v>417607</v>
      </c>
      <c r="R27" s="218">
        <v>2024</v>
      </c>
      <c r="S27" s="222">
        <f t="shared" si="5"/>
        <v>2.0111853187589457E-2</v>
      </c>
      <c r="T27" s="222">
        <f t="shared" si="6"/>
        <v>1.8200000000000001E-2</v>
      </c>
      <c r="U27" s="222" t="str">
        <f>IFERROR(IF(FutureTrunkParks[[#This Row],[Year of Provision]]&gt;2024,VLOOKUP(FutureTrunkParks[[#This Row],[Service Catchment]],'Catchment Demand - LFCF'!$C$8:$M$12,11,FALSE),""),"")</f>
        <v/>
      </c>
      <c r="V27" s="222">
        <f>_xlfn.IFS(FutureTrunkParks[[#This Row],[Year of Provision]]=2024,0,FutureTrunkParks[[#This Row],[Year of Provision]]=2029,FutureTrunkParks[[#This Row],[Establishment Cost]]/SUMIFS(Y$15:Y$27,R$15:R$27,2029,E$15:E$27,FutureTrunkParks[[#This Row],[Service Catchment]]),FutureTrunkParks[[#This Row],[Year of Provision]]=2034,FutureTrunkParks[[#This Row],[Establishment Cost]]/SUMIFS(Y$15:Y$27,R$15:R$27,"2034",E$15:E$27,FutureTrunkParks[[#This Row],[Service Catchment]]))</f>
        <v>0</v>
      </c>
      <c r="W27" s="223">
        <f>IF(AND(FutureTrunkParks[[#This Row],[Spare Capacity (%)]]&gt;30%,FutureTrunkParks[[#This Row],[Share of the total Cost with the same year of provision %]]&gt;20%),(1-FutureTrunkParks[[#This Row],[Spare Capacity (%)]]),1)</f>
        <v>1</v>
      </c>
      <c r="X27" s="223">
        <f>IF(FutureTrunkParks[[#This Row],[Terminal Value Analysis]]&lt;0,0,FutureTrunkParks[[#This Row],[Terminal Value Analysis]])</f>
        <v>1</v>
      </c>
      <c r="Y27" s="65">
        <f t="shared" si="7"/>
        <v>4834807</v>
      </c>
      <c r="Z27" s="65">
        <f t="shared" si="8"/>
        <v>5129936</v>
      </c>
      <c r="AA27" s="65">
        <f t="shared" si="9"/>
        <v>4318183</v>
      </c>
      <c r="AB27" s="106">
        <f>FutureTrunkParks[[#This Row],[Net Present Value of Establishment Cost]]*FutureTrunkParks[[#This Row],[Terminal Value Adjustment (%)]]</f>
        <v>4318183</v>
      </c>
      <c r="AC27" s="308" t="str">
        <f>IF(FutureTrunkParks[[#This Row],[Hierarchy/Name]]="Local",IF(AC$13=$E27,"Y",""),"Y")</f>
        <v/>
      </c>
      <c r="AD27" s="308" t="str">
        <f>IF(FutureTrunkParks[[#This Row],[Hierarchy/Name]]="Local",IF(AD$13=$E27,"Y",""),"Y")</f>
        <v/>
      </c>
      <c r="AE27" s="308" t="str">
        <f>IF(FutureTrunkParks[[#This Row],[Hierarchy/Name]]="Local",IF(AE$13=$E27,"Y",""),"Y")</f>
        <v>Y</v>
      </c>
      <c r="AF27" s="308" t="str">
        <f>IF(FutureTrunkParks[[#This Row],[Hierarchy/Name]]="Local",IF(AF$13=$E27,"Y",""),"Y")</f>
        <v/>
      </c>
      <c r="AG27" s="308" t="str">
        <f>IF(FutureTrunkParks[[#This Row],[Hierarchy/Name]]="Local",IF(AG$13=$E27,"Y",""),"Y")</f>
        <v/>
      </c>
      <c r="AI27" s="315" t="str">
        <f>IF(AND(FutureTrunkParks[[#This Row],[Hierarchy/Name]]="Local",AC27="Y"),100%,IF(AC27="Y",AI$14,""))</f>
        <v/>
      </c>
      <c r="AJ27" s="315" t="str">
        <f>IF(AND(FutureTrunkParks[[#This Row],[Hierarchy/Name]]="Local",AD27="Y"),100%,IF(AD27="Y",AJ$14,""))</f>
        <v/>
      </c>
      <c r="AK27" s="315">
        <f>IF(AND(FutureTrunkParks[[#This Row],[Hierarchy/Name]]="Local",AE27="Y"),100%,IF(AE27="Y",AK$14,""))</f>
        <v>1</v>
      </c>
      <c r="AL27" s="315" t="str">
        <f>IF(AND(FutureTrunkParks[[#This Row],[Hierarchy/Name]]="Local",AF27="Y"),100%,IF(AF27="Y",AL$14,""))</f>
        <v/>
      </c>
      <c r="AM27" s="315" t="str">
        <f>IF(AND(FutureTrunkParks[[#This Row],[Hierarchy/Name]]="Local",AG27="Y"),100%,IF(AG27="Y",AM$14,""))</f>
        <v/>
      </c>
      <c r="AN27" s="315">
        <f t="shared" si="10"/>
        <v>1</v>
      </c>
      <c r="AP27" s="317" t="str">
        <f t="shared" si="11"/>
        <v/>
      </c>
      <c r="AQ27" s="317" t="str">
        <f t="shared" si="12"/>
        <v/>
      </c>
      <c r="AR27" s="317">
        <f t="shared" si="13"/>
        <v>4318183</v>
      </c>
      <c r="AS27" s="317" t="str">
        <f t="shared" si="14"/>
        <v/>
      </c>
      <c r="AT27" s="317" t="str">
        <f t="shared" si="15"/>
        <v/>
      </c>
      <c r="AU27" s="225"/>
      <c r="AV27" s="317" t="str">
        <f t="shared" si="16"/>
        <v/>
      </c>
      <c r="AW27" s="317" t="str">
        <f t="shared" si="17"/>
        <v/>
      </c>
      <c r="AX27" s="317">
        <f t="shared" si="18"/>
        <v>4318183</v>
      </c>
      <c r="AY27" s="317" t="str">
        <f t="shared" si="19"/>
        <v/>
      </c>
      <c r="AZ27" s="317" t="str">
        <f t="shared" si="20"/>
        <v/>
      </c>
      <c r="BA27" s="317">
        <f t="shared" si="21"/>
        <v>4318183</v>
      </c>
    </row>
    <row r="28" spans="2:53" ht="17.25" thickBot="1">
      <c r="B28" s="118"/>
      <c r="C28" s="118"/>
      <c r="D28" s="118"/>
      <c r="E28" s="118"/>
      <c r="F28" s="118"/>
      <c r="G28" s="118"/>
      <c r="H28" s="119"/>
      <c r="I28" s="120"/>
      <c r="J28" s="120"/>
      <c r="K28" s="120"/>
      <c r="L28" s="118"/>
      <c r="M28" s="118"/>
      <c r="N28" s="121"/>
      <c r="P28" s="120"/>
      <c r="Q28" s="120"/>
      <c r="R28" s="118"/>
      <c r="S28" s="122"/>
      <c r="T28" s="122"/>
      <c r="U28" s="122"/>
      <c r="V28" s="123"/>
      <c r="W28" s="224"/>
      <c r="X28" s="224"/>
      <c r="Y28" s="127">
        <f>SUBTOTAL(109,FutureTrunkParks[Establishment Cost])</f>
        <v>136753577</v>
      </c>
      <c r="Z28" s="127">
        <f>SUBTOTAL(109,FutureTrunkParks[Establishment Cost (Escalated)])</f>
        <v>162262003</v>
      </c>
      <c r="AA28" s="127">
        <f>SUBTOTAL(109,FutureTrunkParks[Net Present Value of Establishment Cost])</f>
        <v>99298709</v>
      </c>
      <c r="AB28" s="127">
        <f>SUBTOTAL(109,FutureTrunkParks[NPV Establishment Cost after Terminal Value Adjustment])</f>
        <v>99298709</v>
      </c>
      <c r="AH28" s="33"/>
      <c r="AI28" s="33"/>
      <c r="AJ28" s="33"/>
      <c r="AK28" s="33"/>
      <c r="AL28" s="33"/>
      <c r="AN28" s="33"/>
      <c r="AO28" s="33"/>
    </row>
    <row r="29" spans="2:53">
      <c r="H29" s="124"/>
      <c r="P29" s="125"/>
      <c r="S29" s="126"/>
      <c r="T29" s="126"/>
      <c r="U29" s="126"/>
      <c r="V29" s="126"/>
      <c r="W29" s="126"/>
      <c r="X29" s="126"/>
      <c r="Y29" s="125"/>
      <c r="Z29" s="125"/>
      <c r="AA29" s="125"/>
      <c r="AB29" s="125"/>
      <c r="AH29" s="33"/>
      <c r="AI29" s="33"/>
      <c r="AJ29" s="33"/>
      <c r="AK29" s="33"/>
      <c r="AL29" s="33"/>
      <c r="AN29" s="33"/>
      <c r="AO29" s="33"/>
    </row>
    <row r="30" spans="2:53">
      <c r="H30" s="124"/>
      <c r="P30" s="125"/>
      <c r="S30" s="126"/>
      <c r="T30" s="126"/>
      <c r="U30" s="126"/>
      <c r="V30" s="126"/>
      <c r="W30" s="126"/>
      <c r="X30" s="126"/>
      <c r="Y30" s="125"/>
      <c r="Z30" s="125"/>
      <c r="AA30" s="125"/>
      <c r="AB30" s="125"/>
      <c r="AH30" s="33"/>
      <c r="AI30" s="33"/>
      <c r="AJ30" s="33"/>
      <c r="AK30" s="33"/>
      <c r="AL30" s="33"/>
      <c r="AN30" s="33"/>
      <c r="AO30" s="33"/>
    </row>
    <row r="31" spans="2:53">
      <c r="H31" s="124"/>
      <c r="P31" s="125"/>
      <c r="S31" s="126"/>
      <c r="T31" s="126"/>
      <c r="U31" s="126"/>
      <c r="V31" s="126"/>
      <c r="W31" s="126"/>
      <c r="X31" s="126"/>
      <c r="Y31" s="125"/>
      <c r="Z31" s="125"/>
      <c r="AA31" s="125"/>
      <c r="AB31" s="125"/>
      <c r="AH31" s="33"/>
      <c r="AI31" s="33"/>
      <c r="AJ31" s="33"/>
      <c r="AK31" s="33"/>
      <c r="AL31" s="33"/>
      <c r="AN31" s="33"/>
      <c r="AO31" s="33"/>
    </row>
    <row r="32" spans="2:53">
      <c r="H32" s="124"/>
      <c r="P32" s="125"/>
      <c r="S32" s="126"/>
      <c r="T32" s="126"/>
      <c r="U32" s="126"/>
      <c r="V32" s="126"/>
      <c r="W32" s="126"/>
      <c r="X32" s="126"/>
      <c r="Y32" s="125"/>
      <c r="Z32" s="125"/>
      <c r="AA32" s="125"/>
      <c r="AB32" s="125"/>
      <c r="AH32" s="33"/>
      <c r="AI32" s="33"/>
      <c r="AJ32" s="33"/>
      <c r="AK32" s="33"/>
      <c r="AL32" s="33"/>
      <c r="AN32" s="33"/>
      <c r="AO32" s="33"/>
    </row>
    <row r="33" spans="6:41">
      <c r="H33" s="124"/>
      <c r="P33" s="125"/>
      <c r="S33" s="126"/>
      <c r="T33" s="126"/>
      <c r="U33" s="126"/>
      <c r="V33" s="126"/>
      <c r="W33" s="126"/>
      <c r="X33" s="126"/>
      <c r="Y33" s="125"/>
      <c r="Z33" s="125"/>
      <c r="AA33" s="125"/>
      <c r="AB33" s="125"/>
      <c r="AH33" s="33"/>
      <c r="AI33" s="33"/>
      <c r="AJ33" s="33"/>
      <c r="AK33" s="33"/>
      <c r="AL33" s="33"/>
      <c r="AN33" s="33"/>
      <c r="AO33" s="33"/>
    </row>
    <row r="34" spans="6:41">
      <c r="F34" s="73"/>
      <c r="H34" s="33"/>
      <c r="P34" s="33"/>
      <c r="Q34" s="126"/>
      <c r="R34" s="126"/>
      <c r="S34" s="126"/>
      <c r="T34" s="126"/>
      <c r="U34" s="126"/>
      <c r="V34" s="125"/>
      <c r="W34" s="125"/>
      <c r="X34" s="125"/>
      <c r="Y34" s="125"/>
      <c r="Z34" s="33"/>
      <c r="AA34" s="33"/>
      <c r="AB34" s="33"/>
      <c r="AH34" s="33"/>
      <c r="AI34" s="33"/>
      <c r="AJ34" s="33"/>
      <c r="AK34" s="33"/>
      <c r="AL34" s="33"/>
      <c r="AN34" s="33"/>
      <c r="AO34" s="33"/>
    </row>
    <row r="35" spans="6:41">
      <c r="F35" s="73"/>
      <c r="H35" s="33"/>
      <c r="P35" s="33"/>
      <c r="Q35" s="59"/>
      <c r="R35" s="59"/>
      <c r="V35" s="55"/>
      <c r="W35" s="55"/>
      <c r="X35" s="55"/>
      <c r="Z35" s="33"/>
      <c r="AA35" s="33"/>
      <c r="AB35" s="33"/>
      <c r="AH35" s="33"/>
      <c r="AI35" s="33"/>
      <c r="AJ35" s="33"/>
      <c r="AK35" s="33"/>
      <c r="AL35" s="33"/>
      <c r="AN35" s="33"/>
      <c r="AO35" s="33"/>
    </row>
    <row r="36" spans="6:41">
      <c r="F36" s="73"/>
      <c r="H36" s="33"/>
      <c r="P36" s="33"/>
      <c r="Q36" s="59"/>
      <c r="R36" s="59"/>
      <c r="V36" s="55"/>
      <c r="W36" s="55"/>
      <c r="X36" s="55"/>
      <c r="Z36" s="33"/>
      <c r="AA36" s="33"/>
      <c r="AB36" s="33"/>
      <c r="AH36" s="33"/>
      <c r="AI36" s="33"/>
      <c r="AJ36" s="33"/>
      <c r="AK36" s="33"/>
      <c r="AL36" s="33"/>
      <c r="AN36" s="33"/>
      <c r="AO36" s="33"/>
    </row>
    <row r="37" spans="6:41">
      <c r="F37" s="73"/>
      <c r="H37" s="33"/>
      <c r="P37" s="33"/>
      <c r="Q37" s="59"/>
      <c r="R37" s="59"/>
      <c r="V37" s="55"/>
      <c r="W37" s="55"/>
      <c r="X37" s="55"/>
      <c r="Z37" s="33"/>
      <c r="AA37" s="33"/>
      <c r="AB37" s="33"/>
      <c r="AH37" s="33"/>
      <c r="AI37" s="33"/>
      <c r="AJ37" s="33"/>
      <c r="AK37" s="33"/>
      <c r="AL37" s="33"/>
      <c r="AN37" s="33"/>
      <c r="AO37" s="33"/>
    </row>
    <row r="38" spans="6:41">
      <c r="F38" s="73"/>
      <c r="H38" s="33"/>
      <c r="P38" s="33"/>
      <c r="Q38" s="59"/>
      <c r="R38" s="59"/>
      <c r="V38" s="55"/>
      <c r="W38" s="55"/>
      <c r="X38" s="55"/>
      <c r="Z38" s="33"/>
      <c r="AA38" s="33"/>
      <c r="AB38" s="33"/>
      <c r="AH38" s="33"/>
      <c r="AI38" s="33"/>
      <c r="AJ38" s="33"/>
      <c r="AK38" s="33"/>
      <c r="AL38" s="33"/>
      <c r="AN38" s="33"/>
      <c r="AO38" s="33"/>
    </row>
    <row r="39" spans="6:41">
      <c r="F39" s="73"/>
      <c r="H39" s="33"/>
      <c r="P39" s="33"/>
      <c r="Q39" s="59"/>
      <c r="R39" s="59"/>
      <c r="V39" s="55"/>
      <c r="W39" s="55"/>
      <c r="X39" s="55"/>
      <c r="Z39" s="33"/>
      <c r="AA39" s="33"/>
      <c r="AB39" s="33"/>
      <c r="AH39" s="33"/>
      <c r="AI39" s="33"/>
      <c r="AJ39" s="33"/>
      <c r="AK39" s="33"/>
      <c r="AL39" s="33"/>
      <c r="AN39" s="33"/>
      <c r="AO39" s="33"/>
    </row>
    <row r="40" spans="6:41">
      <c r="F40" s="73"/>
      <c r="H40" s="33"/>
      <c r="P40" s="33"/>
      <c r="Q40" s="59"/>
      <c r="R40" s="59"/>
      <c r="V40" s="55"/>
      <c r="W40" s="55"/>
      <c r="X40" s="55"/>
      <c r="Z40" s="33"/>
      <c r="AA40" s="33"/>
      <c r="AB40" s="33"/>
      <c r="AH40" s="33"/>
      <c r="AI40" s="33"/>
      <c r="AJ40" s="33"/>
      <c r="AK40" s="33"/>
      <c r="AL40" s="33"/>
      <c r="AN40" s="33"/>
      <c r="AO40" s="33"/>
    </row>
    <row r="41" spans="6:41">
      <c r="F41" s="73"/>
      <c r="H41" s="33"/>
      <c r="P41" s="33"/>
      <c r="Q41" s="59"/>
      <c r="R41" s="59"/>
      <c r="V41" s="55"/>
      <c r="W41" s="55"/>
      <c r="X41" s="55"/>
      <c r="Z41" s="33"/>
      <c r="AA41" s="33"/>
      <c r="AB41" s="33"/>
      <c r="AH41" s="33"/>
      <c r="AI41" s="33"/>
      <c r="AJ41" s="33"/>
      <c r="AK41" s="33"/>
      <c r="AL41" s="33"/>
      <c r="AN41" s="33"/>
      <c r="AO41" s="33"/>
    </row>
    <row r="42" spans="6:41">
      <c r="F42" s="73"/>
      <c r="H42" s="33"/>
      <c r="P42" s="33"/>
      <c r="Q42" s="59"/>
      <c r="R42" s="59"/>
      <c r="V42" s="55"/>
      <c r="W42" s="55"/>
      <c r="X42" s="55"/>
      <c r="Z42" s="33"/>
      <c r="AA42" s="33"/>
      <c r="AB42" s="33"/>
      <c r="AH42" s="33"/>
      <c r="AI42" s="33"/>
      <c r="AJ42" s="33"/>
      <c r="AK42" s="33"/>
      <c r="AL42" s="33"/>
      <c r="AN42" s="33"/>
      <c r="AO42" s="33"/>
    </row>
    <row r="43" spans="6:41">
      <c r="F43" s="73"/>
      <c r="H43" s="33"/>
      <c r="P43" s="33"/>
      <c r="Q43" s="59"/>
      <c r="R43" s="59"/>
      <c r="V43" s="55"/>
      <c r="W43" s="55"/>
      <c r="X43" s="55"/>
      <c r="Z43" s="33"/>
      <c r="AA43" s="33"/>
      <c r="AB43" s="33"/>
      <c r="AH43" s="33"/>
      <c r="AI43" s="33"/>
      <c r="AJ43" s="33"/>
      <c r="AK43" s="33"/>
      <c r="AL43" s="33"/>
      <c r="AN43" s="33"/>
      <c r="AO43" s="33"/>
    </row>
    <row r="44" spans="6:41">
      <c r="F44" s="73"/>
      <c r="H44" s="33"/>
      <c r="P44" s="33"/>
      <c r="Q44" s="59"/>
      <c r="R44" s="59"/>
      <c r="V44" s="55"/>
      <c r="W44" s="55"/>
      <c r="X44" s="55"/>
      <c r="Z44" s="33"/>
      <c r="AA44" s="33"/>
      <c r="AB44" s="33"/>
      <c r="AH44" s="33"/>
      <c r="AI44" s="33"/>
      <c r="AJ44" s="33"/>
      <c r="AK44" s="33"/>
      <c r="AL44" s="33"/>
      <c r="AN44" s="33"/>
      <c r="AO44" s="33"/>
    </row>
    <row r="45" spans="6:41">
      <c r="F45" s="73"/>
      <c r="H45" s="33"/>
      <c r="P45" s="33"/>
      <c r="Q45" s="59"/>
      <c r="R45" s="59"/>
      <c r="V45" s="55"/>
      <c r="W45" s="55"/>
      <c r="X45" s="55"/>
      <c r="Z45" s="33"/>
      <c r="AA45" s="33"/>
      <c r="AB45" s="33"/>
      <c r="AH45" s="33"/>
      <c r="AI45" s="33"/>
      <c r="AJ45" s="33"/>
      <c r="AK45" s="33"/>
      <c r="AL45" s="33"/>
      <c r="AN45" s="33"/>
      <c r="AO45" s="33"/>
    </row>
    <row r="46" spans="6:41">
      <c r="F46" s="73"/>
      <c r="H46" s="33"/>
      <c r="P46" s="33"/>
      <c r="Q46" s="59"/>
      <c r="R46" s="59"/>
      <c r="V46" s="55"/>
      <c r="W46" s="55"/>
      <c r="X46" s="55"/>
      <c r="Z46" s="33"/>
      <c r="AA46" s="33"/>
      <c r="AB46" s="33"/>
      <c r="AH46" s="33"/>
      <c r="AI46" s="33"/>
      <c r="AJ46" s="33"/>
      <c r="AK46" s="33"/>
      <c r="AL46" s="33"/>
      <c r="AN46" s="33"/>
      <c r="AO46" s="33"/>
    </row>
    <row r="47" spans="6:41">
      <c r="F47" s="73"/>
      <c r="H47" s="33"/>
      <c r="P47" s="33"/>
      <c r="Q47" s="59"/>
      <c r="R47" s="59"/>
      <c r="V47" s="55"/>
      <c r="W47" s="55"/>
      <c r="X47" s="55"/>
      <c r="Z47" s="33"/>
      <c r="AA47" s="33"/>
      <c r="AB47" s="33"/>
      <c r="AH47" s="33"/>
      <c r="AI47" s="33"/>
      <c r="AJ47" s="33"/>
      <c r="AK47" s="33"/>
      <c r="AL47" s="33"/>
      <c r="AN47" s="33"/>
      <c r="AO47" s="33"/>
    </row>
    <row r="48" spans="6:41">
      <c r="F48" s="73"/>
      <c r="H48" s="33"/>
      <c r="P48" s="33"/>
      <c r="Q48" s="59"/>
      <c r="R48" s="59"/>
      <c r="V48" s="55"/>
      <c r="W48" s="55"/>
      <c r="X48" s="55"/>
      <c r="Z48" s="33"/>
      <c r="AA48" s="33"/>
      <c r="AB48" s="33"/>
      <c r="AH48" s="33"/>
      <c r="AI48" s="33"/>
      <c r="AJ48" s="33"/>
      <c r="AK48" s="33"/>
      <c r="AL48" s="33"/>
      <c r="AN48" s="33"/>
      <c r="AO48" s="33"/>
    </row>
    <row r="49" spans="6:41">
      <c r="F49" s="73"/>
      <c r="H49" s="33"/>
      <c r="P49" s="33"/>
      <c r="Q49" s="59"/>
      <c r="R49" s="59"/>
      <c r="V49" s="55"/>
      <c r="W49" s="55"/>
      <c r="X49" s="55"/>
      <c r="Z49" s="33"/>
      <c r="AA49" s="33"/>
      <c r="AB49" s="33"/>
      <c r="AH49" s="33"/>
      <c r="AI49" s="33"/>
      <c r="AJ49" s="33"/>
      <c r="AK49" s="33"/>
      <c r="AL49" s="33"/>
      <c r="AN49" s="33"/>
      <c r="AO49" s="33"/>
    </row>
    <row r="50" spans="6:41">
      <c r="F50" s="73"/>
      <c r="H50" s="33"/>
      <c r="P50" s="33"/>
      <c r="Q50" s="59"/>
      <c r="R50" s="59"/>
      <c r="V50" s="55"/>
      <c r="W50" s="55"/>
      <c r="X50" s="55"/>
      <c r="Z50" s="33"/>
      <c r="AA50" s="33"/>
      <c r="AB50" s="33"/>
      <c r="AH50" s="33"/>
      <c r="AI50" s="33"/>
      <c r="AJ50" s="33"/>
      <c r="AK50" s="33"/>
      <c r="AL50" s="33"/>
      <c r="AN50" s="33"/>
      <c r="AO50" s="33"/>
    </row>
    <row r="51" spans="6:41">
      <c r="F51" s="73"/>
      <c r="H51" s="33"/>
      <c r="P51" s="33"/>
      <c r="Q51" s="59"/>
      <c r="R51" s="59"/>
      <c r="V51" s="55"/>
      <c r="W51" s="55"/>
      <c r="X51" s="55"/>
      <c r="Z51" s="33"/>
      <c r="AA51" s="33"/>
      <c r="AB51" s="33"/>
      <c r="AH51" s="33"/>
      <c r="AI51" s="33"/>
      <c r="AJ51" s="33"/>
      <c r="AK51" s="33"/>
      <c r="AL51" s="33"/>
      <c r="AN51" s="33"/>
      <c r="AO51" s="33"/>
    </row>
    <row r="52" spans="6:41">
      <c r="F52" s="73"/>
      <c r="H52" s="33"/>
      <c r="P52" s="33"/>
      <c r="Q52" s="59"/>
      <c r="R52" s="59"/>
      <c r="V52" s="55"/>
      <c r="W52" s="55"/>
      <c r="X52" s="55"/>
      <c r="Z52" s="33"/>
      <c r="AA52" s="33"/>
      <c r="AB52" s="33"/>
      <c r="AH52" s="33"/>
      <c r="AI52" s="33"/>
      <c r="AJ52" s="33"/>
      <c r="AK52" s="33"/>
      <c r="AL52" s="33"/>
      <c r="AN52" s="33"/>
      <c r="AO52" s="33"/>
    </row>
    <row r="53" spans="6:41">
      <c r="F53" s="73"/>
      <c r="H53" s="33"/>
      <c r="P53" s="33"/>
      <c r="Q53" s="59"/>
      <c r="R53" s="59"/>
      <c r="V53" s="55"/>
      <c r="W53" s="55"/>
      <c r="X53" s="55"/>
      <c r="Z53" s="33"/>
      <c r="AA53" s="33"/>
      <c r="AB53" s="33"/>
    </row>
    <row r="54" spans="6:41">
      <c r="F54" s="73"/>
      <c r="H54" s="33"/>
      <c r="P54" s="33"/>
      <c r="Q54" s="59"/>
      <c r="R54" s="59"/>
      <c r="V54" s="55"/>
      <c r="W54" s="55"/>
      <c r="X54" s="55"/>
      <c r="Z54" s="33"/>
      <c r="AA54" s="33"/>
      <c r="AB54" s="33"/>
    </row>
    <row r="55" spans="6:41">
      <c r="F55" s="73"/>
      <c r="H55" s="33"/>
      <c r="P55" s="33"/>
      <c r="Q55" s="59"/>
      <c r="R55" s="59"/>
      <c r="V55" s="55"/>
      <c r="W55" s="55"/>
      <c r="X55" s="55"/>
      <c r="Z55" s="33"/>
      <c r="AA55" s="33"/>
      <c r="AB55" s="33"/>
    </row>
    <row r="56" spans="6:41">
      <c r="F56" s="73"/>
      <c r="H56" s="33"/>
      <c r="P56" s="33"/>
      <c r="Q56" s="59"/>
      <c r="R56" s="59"/>
      <c r="V56" s="55"/>
      <c r="W56" s="55"/>
      <c r="X56" s="55"/>
      <c r="Z56" s="33"/>
      <c r="AA56" s="33"/>
      <c r="AB56" s="33"/>
    </row>
    <row r="57" spans="6:41">
      <c r="F57" s="73"/>
      <c r="H57" s="33"/>
      <c r="P57" s="33"/>
      <c r="Q57" s="59"/>
      <c r="R57" s="59"/>
      <c r="V57" s="55"/>
      <c r="W57" s="55"/>
      <c r="X57" s="55"/>
      <c r="Z57" s="33"/>
      <c r="AA57" s="33"/>
      <c r="AB57" s="33"/>
    </row>
    <row r="58" spans="6:41">
      <c r="F58" s="73"/>
      <c r="H58" s="33"/>
      <c r="P58" s="33"/>
      <c r="Q58" s="59"/>
      <c r="R58" s="59"/>
      <c r="V58" s="55"/>
      <c r="W58" s="55"/>
      <c r="X58" s="55"/>
      <c r="Z58" s="33"/>
      <c r="AA58" s="33"/>
      <c r="AB58" s="33"/>
    </row>
    <row r="59" spans="6:41">
      <c r="F59" s="73"/>
      <c r="H59" s="33"/>
      <c r="P59" s="33"/>
      <c r="Q59" s="59"/>
      <c r="R59" s="59"/>
      <c r="V59" s="55"/>
      <c r="W59" s="55"/>
      <c r="X59" s="55"/>
      <c r="Z59" s="33"/>
      <c r="AA59" s="33"/>
      <c r="AB59" s="33"/>
    </row>
    <row r="60" spans="6:41">
      <c r="F60" s="73"/>
      <c r="H60" s="33"/>
      <c r="P60" s="33"/>
      <c r="Q60" s="59"/>
      <c r="R60" s="59"/>
      <c r="V60" s="55"/>
      <c r="W60" s="55"/>
      <c r="X60" s="55"/>
      <c r="Z60" s="33"/>
      <c r="AA60" s="33"/>
      <c r="AB60" s="33"/>
    </row>
    <row r="61" spans="6:41">
      <c r="F61" s="73"/>
      <c r="H61" s="33"/>
      <c r="P61" s="33"/>
      <c r="Q61" s="59"/>
      <c r="R61" s="59"/>
      <c r="V61" s="55"/>
      <c r="W61" s="55"/>
      <c r="X61" s="55"/>
      <c r="Z61" s="33"/>
      <c r="AA61" s="33"/>
      <c r="AB61" s="33"/>
    </row>
    <row r="62" spans="6:41">
      <c r="F62" s="73"/>
      <c r="H62" s="33"/>
      <c r="P62" s="33"/>
      <c r="Q62" s="59"/>
      <c r="R62" s="59"/>
      <c r="V62" s="55"/>
      <c r="W62" s="55"/>
      <c r="X62" s="55"/>
      <c r="Z62" s="33"/>
      <c r="AA62" s="33"/>
      <c r="AB62" s="33"/>
    </row>
    <row r="63" spans="6:41">
      <c r="F63" s="73"/>
      <c r="H63" s="33"/>
      <c r="P63" s="33"/>
      <c r="Q63" s="59"/>
      <c r="R63" s="59"/>
      <c r="V63" s="55"/>
      <c r="W63" s="55"/>
      <c r="X63" s="55"/>
      <c r="Z63" s="33"/>
      <c r="AA63" s="33"/>
      <c r="AB63" s="33"/>
    </row>
    <row r="64" spans="6:41">
      <c r="F64" s="73"/>
      <c r="H64" s="33"/>
      <c r="P64" s="33"/>
      <c r="Q64" s="59"/>
      <c r="R64" s="59"/>
      <c r="V64" s="55"/>
      <c r="W64" s="55"/>
      <c r="X64" s="55"/>
      <c r="Z64" s="33"/>
      <c r="AA64" s="33"/>
      <c r="AB64" s="33"/>
    </row>
  </sheetData>
  <sheetProtection selectLockedCells="1"/>
  <mergeCells count="36">
    <mergeCell ref="AD12:AD13"/>
    <mergeCell ref="AE12:AE13"/>
    <mergeCell ref="AF12:AF13"/>
    <mergeCell ref="AG12:AG13"/>
    <mergeCell ref="B12:F12"/>
    <mergeCell ref="G12:J12"/>
    <mergeCell ref="K12:Q12"/>
    <mergeCell ref="R12:AA12"/>
    <mergeCell ref="AC12:AC13"/>
    <mergeCell ref="AV11:BA11"/>
    <mergeCell ref="BA12:BA13"/>
    <mergeCell ref="AV12:AV13"/>
    <mergeCell ref="AW12:AW13"/>
    <mergeCell ref="AX12:AX13"/>
    <mergeCell ref="AY12:AY13"/>
    <mergeCell ref="AZ12:AZ13"/>
    <mergeCell ref="AR12:AR13"/>
    <mergeCell ref="AS12:AS13"/>
    <mergeCell ref="AT12:AT13"/>
    <mergeCell ref="AI12:AI13"/>
    <mergeCell ref="AJ12:AJ13"/>
    <mergeCell ref="AK12:AK13"/>
    <mergeCell ref="AL12:AL13"/>
    <mergeCell ref="AM12:AM13"/>
    <mergeCell ref="AN12:AN13"/>
    <mergeCell ref="AP12:AP13"/>
    <mergeCell ref="AQ12:AQ13"/>
    <mergeCell ref="AP11:AT11"/>
    <mergeCell ref="B2:J2"/>
    <mergeCell ref="B3:J3"/>
    <mergeCell ref="B5:J5"/>
    <mergeCell ref="B9:C9"/>
    <mergeCell ref="E7:R7"/>
    <mergeCell ref="B7:D7"/>
    <mergeCell ref="AC11:AG11"/>
    <mergeCell ref="AI11:AN11"/>
  </mergeCells>
  <dataValidations count="3">
    <dataValidation type="list" allowBlank="1" showInputMessage="1" showErrorMessage="1" sqref="D9" xr:uid="{00000000-0002-0000-0E00-000000000000}">
      <formula1>LANDRATETYPE</formula1>
    </dataValidation>
    <dataValidation type="list" allowBlank="1" showInputMessage="1" showErrorMessage="1" sqref="P15:P28" xr:uid="{C3E3257E-27C9-427F-8515-36859339A7BA}">
      <formula1>PArkprojcost</formula1>
    </dataValidation>
    <dataValidation type="list" allowBlank="1" showInputMessage="1" showErrorMessage="1" sqref="G15:G28" xr:uid="{7251B4DE-CC74-4AF4-90B0-5FC864F3C8B3}">
      <formula1>parkslandcode2</formula1>
    </dataValidation>
  </dataValidations>
  <hyperlinks>
    <hyperlink ref="B4" location="'Navigation Pane'!A1" display="Return to Navigation Pane" xr:uid="{F230FFAB-DE68-4EF0-975F-04C16C269D25}"/>
  </hyperlinks>
  <pageMargins left="0.23622047244094491" right="0.23622047244094491" top="0.74803149606299213" bottom="0.74803149606299213" header="0.31496062992125984" footer="0.31496062992125984"/>
  <pageSetup paperSize="9" scale="60" fitToHeight="0"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2:MK24"/>
  <sheetViews>
    <sheetView zoomScale="70" zoomScaleNormal="70" workbookViewId="0"/>
  </sheetViews>
  <sheetFormatPr defaultColWidth="9" defaultRowHeight="16.5"/>
  <cols>
    <col min="1" max="1" width="9" style="33"/>
    <col min="2" max="2" width="15.25" style="33" customWidth="1"/>
    <col min="3" max="3" width="21.5" style="33" bestFit="1" customWidth="1"/>
    <col min="4" max="9" width="16.125" style="33" customWidth="1"/>
    <col min="10" max="10" width="16" style="33" bestFit="1" customWidth="1"/>
    <col min="11" max="19" width="16.125" style="33" customWidth="1"/>
    <col min="20" max="16384" width="9" style="33"/>
  </cols>
  <sheetData>
    <row r="2" spans="1:349" ht="26.25">
      <c r="B2" s="426" t="str">
        <f>'Navigation Pane'!B2</f>
        <v>Brisbane City Council</v>
      </c>
      <c r="C2" s="426"/>
      <c r="D2" s="426"/>
      <c r="E2" s="426"/>
      <c r="F2" s="426"/>
      <c r="G2" s="426"/>
      <c r="H2" s="426"/>
      <c r="I2" s="426"/>
      <c r="J2" s="426"/>
      <c r="K2" s="426"/>
      <c r="L2" s="426"/>
    </row>
    <row r="3" spans="1:349" ht="26.25">
      <c r="B3" s="426" t="s">
        <v>115</v>
      </c>
      <c r="C3" s="426"/>
      <c r="D3" s="426"/>
      <c r="E3" s="426"/>
      <c r="F3" s="426"/>
      <c r="G3" s="426"/>
      <c r="H3" s="426"/>
      <c r="I3" s="426"/>
      <c r="J3" s="426"/>
      <c r="K3" s="426"/>
      <c r="L3" s="426"/>
    </row>
    <row r="4" spans="1:349">
      <c r="A4" s="45"/>
      <c r="B4" s="45" t="s">
        <v>49</v>
      </c>
    </row>
    <row r="5" spans="1:349" ht="22.5">
      <c r="B5" s="427" t="s">
        <v>386</v>
      </c>
      <c r="C5" s="427"/>
      <c r="D5" s="427"/>
      <c r="E5" s="427"/>
      <c r="F5" s="427"/>
      <c r="G5" s="427"/>
      <c r="H5" s="427"/>
      <c r="I5" s="427"/>
      <c r="J5" s="427"/>
      <c r="K5" s="427"/>
      <c r="L5" s="427"/>
    </row>
    <row r="6" spans="1:349" ht="17.25" thickBot="1"/>
    <row r="7" spans="1:349" s="1" customFormat="1" ht="45" thickBot="1">
      <c r="A7" s="33"/>
      <c r="B7" s="7" t="s">
        <v>39</v>
      </c>
      <c r="C7" s="8" t="s">
        <v>77</v>
      </c>
      <c r="D7" s="9">
        <v>2021</v>
      </c>
      <c r="E7" s="10">
        <v>2026</v>
      </c>
      <c r="F7" s="10">
        <v>2031</v>
      </c>
      <c r="G7" s="10">
        <v>2036</v>
      </c>
      <c r="H7" s="11">
        <v>2041</v>
      </c>
      <c r="I7" s="49"/>
      <c r="J7" s="6" t="str">
        <f>"NPV Future Demand ("&amp;(D7+1)&amp; " - " &amp;G7&amp;")"</f>
        <v>NPV Future Demand (2022 - 2036)</v>
      </c>
      <c r="K7" s="33"/>
      <c r="L7" s="6" t="str">
        <f xml:space="preserve"> "Ultimate Demand"</f>
        <v>Ultimate Demand</v>
      </c>
      <c r="M7" s="266" t="s">
        <v>132</v>
      </c>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row>
    <row r="8" spans="1:349" s="1" customFormat="1">
      <c r="A8" s="33"/>
      <c r="B8" s="76">
        <v>1</v>
      </c>
      <c r="C8" s="77" t="s">
        <v>116</v>
      </c>
      <c r="D8" s="78">
        <v>20937</v>
      </c>
      <c r="E8" s="79">
        <v>20814</v>
      </c>
      <c r="F8" s="79">
        <v>20639</v>
      </c>
      <c r="G8" s="80">
        <v>21323</v>
      </c>
      <c r="H8" s="81">
        <v>21245</v>
      </c>
      <c r="I8" s="50"/>
      <c r="J8" s="90">
        <f>NPV(WACC1,E20:S20)</f>
        <v>110.52772693513626</v>
      </c>
      <c r="K8" s="46"/>
      <c r="L8" s="93">
        <v>21928</v>
      </c>
      <c r="M8" s="107">
        <f>(L8-G8)/G8</f>
        <v>2.8373118229142239E-2</v>
      </c>
      <c r="N8" s="33"/>
      <c r="O8" s="46"/>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row>
    <row r="9" spans="1:349" s="1" customFormat="1">
      <c r="A9" s="33"/>
      <c r="B9" s="76">
        <v>2</v>
      </c>
      <c r="C9" s="77" t="s">
        <v>117</v>
      </c>
      <c r="D9" s="78">
        <v>281926</v>
      </c>
      <c r="E9" s="79">
        <v>291638</v>
      </c>
      <c r="F9" s="79">
        <v>301216</v>
      </c>
      <c r="G9" s="80">
        <v>316315</v>
      </c>
      <c r="H9" s="81">
        <v>331019</v>
      </c>
      <c r="I9" s="50"/>
      <c r="J9" s="90">
        <f>NPV(WACC1,E21:S21)</f>
        <v>21453.687649975127</v>
      </c>
      <c r="K9" s="46"/>
      <c r="L9" s="93">
        <v>383889</v>
      </c>
      <c r="M9" s="107">
        <f t="shared" ref="M9:M12" si="0">(L9-G9)/G9</f>
        <v>0.21362881937309328</v>
      </c>
      <c r="N9" s="33"/>
      <c r="O9" s="46"/>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c r="KZ9" s="33"/>
      <c r="LA9" s="33"/>
      <c r="LB9" s="33"/>
      <c r="LC9" s="33"/>
      <c r="LD9" s="33"/>
      <c r="LE9" s="33"/>
      <c r="LF9" s="33"/>
      <c r="LG9" s="33"/>
      <c r="LH9" s="33"/>
      <c r="LI9" s="33"/>
      <c r="LJ9" s="33"/>
      <c r="LK9" s="33"/>
      <c r="LL9" s="33"/>
      <c r="LM9" s="33"/>
      <c r="LN9" s="33"/>
      <c r="LO9" s="33"/>
      <c r="LP9" s="33"/>
      <c r="LQ9" s="33"/>
      <c r="LR9" s="33"/>
      <c r="LS9" s="33"/>
      <c r="LT9" s="33"/>
      <c r="LU9" s="33"/>
      <c r="LV9" s="33"/>
      <c r="LW9" s="33"/>
      <c r="LX9" s="33"/>
      <c r="LY9" s="33"/>
      <c r="LZ9" s="33"/>
      <c r="MA9" s="33"/>
      <c r="MB9" s="33"/>
      <c r="MC9" s="33"/>
      <c r="MD9" s="33"/>
      <c r="ME9" s="33"/>
      <c r="MF9" s="33"/>
      <c r="MG9" s="33"/>
      <c r="MH9" s="33"/>
      <c r="MI9" s="33"/>
      <c r="MJ9" s="33"/>
      <c r="MK9" s="33"/>
    </row>
    <row r="10" spans="1:349" s="1" customFormat="1">
      <c r="A10" s="33"/>
      <c r="B10" s="76">
        <v>3</v>
      </c>
      <c r="C10" s="77" t="s">
        <v>118</v>
      </c>
      <c r="D10" s="78">
        <v>396666</v>
      </c>
      <c r="E10" s="79">
        <v>429284</v>
      </c>
      <c r="F10" s="79">
        <v>456967</v>
      </c>
      <c r="G10" s="80">
        <v>482835</v>
      </c>
      <c r="H10" s="81">
        <v>508114</v>
      </c>
      <c r="I10" s="50"/>
      <c r="J10" s="90">
        <f>NPV(WACC1,E22:S22)</f>
        <v>57395.040332076213</v>
      </c>
      <c r="K10" s="46"/>
      <c r="L10" s="93">
        <v>602702</v>
      </c>
      <c r="M10" s="107">
        <f t="shared" si="0"/>
        <v>0.24825665082274484</v>
      </c>
      <c r="N10" s="47"/>
      <c r="O10" s="46"/>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row>
    <row r="11" spans="1:349" s="1" customFormat="1">
      <c r="A11" s="33"/>
      <c r="B11" s="76">
        <v>4</v>
      </c>
      <c r="C11" s="77" t="s">
        <v>119</v>
      </c>
      <c r="D11" s="78">
        <v>385242</v>
      </c>
      <c r="E11" s="79">
        <v>404589</v>
      </c>
      <c r="F11" s="79">
        <v>426593</v>
      </c>
      <c r="G11" s="80">
        <v>454532</v>
      </c>
      <c r="H11" s="81">
        <v>486037</v>
      </c>
      <c r="I11" s="50"/>
      <c r="J11" s="90">
        <f>NPV(WACC1,E23:S23)</f>
        <v>43572.935734573439</v>
      </c>
      <c r="K11" s="46"/>
      <c r="L11" s="93">
        <v>555432</v>
      </c>
      <c r="M11" s="107">
        <f t="shared" si="0"/>
        <v>0.22198657080249576</v>
      </c>
      <c r="N11" s="33"/>
      <c r="O11" s="46"/>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row>
    <row r="12" spans="1:349" s="1" customFormat="1">
      <c r="A12" s="33"/>
      <c r="B12" s="76">
        <v>5</v>
      </c>
      <c r="C12" s="77" t="s">
        <v>120</v>
      </c>
      <c r="D12" s="78">
        <v>255491</v>
      </c>
      <c r="E12" s="79">
        <v>262389</v>
      </c>
      <c r="F12" s="79">
        <v>268953</v>
      </c>
      <c r="G12" s="80">
        <v>278062</v>
      </c>
      <c r="H12" s="81">
        <v>287882</v>
      </c>
      <c r="I12" s="50"/>
      <c r="J12" s="90">
        <f>NPV(WACC1,E24:S24)</f>
        <v>14318.056580818058</v>
      </c>
      <c r="K12" s="46"/>
      <c r="L12" s="93">
        <v>315673</v>
      </c>
      <c r="M12" s="107">
        <f t="shared" si="0"/>
        <v>0.13526120073940345</v>
      </c>
      <c r="N12" s="33"/>
      <c r="O12" s="46"/>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row>
    <row r="13" spans="1:349" s="1" customFormat="1">
      <c r="A13" s="33"/>
      <c r="B13" s="76"/>
      <c r="C13" s="82"/>
      <c r="D13" s="78"/>
      <c r="E13" s="79"/>
      <c r="F13" s="79"/>
      <c r="G13" s="80"/>
      <c r="H13" s="81"/>
      <c r="I13" s="50"/>
      <c r="J13" s="90"/>
      <c r="K13" s="33"/>
      <c r="L13" s="93"/>
      <c r="M13" s="9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row>
    <row r="14" spans="1:349" s="1" customFormat="1" ht="17.25" thickBot="1">
      <c r="A14" s="33"/>
      <c r="B14" s="83"/>
      <c r="C14" s="84"/>
      <c r="D14" s="85"/>
      <c r="E14" s="86"/>
      <c r="F14" s="86"/>
      <c r="G14" s="87"/>
      <c r="H14" s="88"/>
      <c r="I14" s="50"/>
      <c r="J14" s="91"/>
      <c r="K14" s="33"/>
      <c r="L14" s="94"/>
      <c r="M14" s="94"/>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row>
    <row r="15" spans="1:349" s="1" customFormat="1" ht="17.25" thickBot="1">
      <c r="A15" s="33"/>
      <c r="B15" s="33"/>
      <c r="C15" s="128" t="s">
        <v>42</v>
      </c>
      <c r="D15" s="89">
        <f>SUM(D8:D14)</f>
        <v>1340262</v>
      </c>
      <c r="E15" s="89">
        <f>SUM(E8:E14)</f>
        <v>1408714</v>
      </c>
      <c r="F15" s="89">
        <f>SUM(F8:F14)</f>
        <v>1474368</v>
      </c>
      <c r="G15" s="89">
        <f>SUM(G8:G14)</f>
        <v>1553067</v>
      </c>
      <c r="H15" s="89">
        <f>SUM(H8:H14)</f>
        <v>1634297</v>
      </c>
      <c r="I15" s="50"/>
      <c r="J15" s="92">
        <f>SUM(J8:J14)</f>
        <v>136850.24802437797</v>
      </c>
      <c r="K15" s="33"/>
      <c r="L15" s="89">
        <f>SUM(L8:L14)</f>
        <v>1879624</v>
      </c>
      <c r="M15" s="89"/>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row>
    <row r="16" spans="1:349" s="1" customFormat="1">
      <c r="A16" s="33"/>
      <c r="B16" s="33"/>
      <c r="C16" s="33"/>
      <c r="D16" s="33"/>
      <c r="E16" s="33"/>
      <c r="F16" s="46"/>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row>
    <row r="17" spans="1:349" s="1" customForma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row>
    <row r="18" spans="1:349" s="1" customFormat="1" ht="23.25" thickBot="1">
      <c r="A18" s="33"/>
      <c r="B18" s="48" t="s">
        <v>98</v>
      </c>
      <c r="C18" s="48"/>
      <c r="D18" s="48"/>
      <c r="E18" s="48"/>
      <c r="F18" s="48"/>
      <c r="G18" s="48"/>
      <c r="H18" s="48"/>
      <c r="I18" s="48"/>
      <c r="J18" s="48"/>
      <c r="K18" s="48"/>
      <c r="L18" s="48"/>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c r="KZ18" s="33"/>
      <c r="LA18" s="33"/>
      <c r="LB18" s="33"/>
      <c r="LC18" s="33"/>
      <c r="LD18" s="33"/>
      <c r="LE18" s="33"/>
      <c r="LF18" s="33"/>
      <c r="LG18" s="33"/>
      <c r="LH18" s="33"/>
      <c r="LI18" s="33"/>
      <c r="LJ18" s="33"/>
      <c r="LK18" s="33"/>
      <c r="LL18" s="33"/>
      <c r="LM18" s="33"/>
      <c r="LN18" s="33"/>
      <c r="LO18" s="33"/>
      <c r="LP18" s="33"/>
      <c r="LQ18" s="33"/>
      <c r="LR18" s="33"/>
      <c r="LS18" s="33"/>
      <c r="LT18" s="33"/>
      <c r="LU18" s="33"/>
      <c r="LV18" s="33"/>
      <c r="LW18" s="33"/>
      <c r="LX18" s="33"/>
      <c r="LY18" s="33"/>
      <c r="LZ18" s="33"/>
      <c r="MA18" s="33"/>
      <c r="MB18" s="33"/>
      <c r="MC18" s="33"/>
      <c r="MD18" s="33"/>
      <c r="ME18" s="33"/>
      <c r="MF18" s="33"/>
      <c r="MG18" s="33"/>
      <c r="MH18" s="33"/>
      <c r="MI18" s="33"/>
      <c r="MJ18" s="33"/>
      <c r="MK18" s="33"/>
    </row>
    <row r="19" spans="1:349" s="1" customFormat="1" ht="17.25" thickBot="1">
      <c r="A19" s="33"/>
      <c r="B19" s="4" t="s">
        <v>39</v>
      </c>
      <c r="C19" s="5" t="s">
        <v>70</v>
      </c>
      <c r="D19" s="155">
        <v>2021</v>
      </c>
      <c r="E19" s="154">
        <f>D19 +1</f>
        <v>2022</v>
      </c>
      <c r="F19" s="154">
        <f t="shared" ref="F19:S19" si="1">E19 +1</f>
        <v>2023</v>
      </c>
      <c r="G19" s="154">
        <f t="shared" si="1"/>
        <v>2024</v>
      </c>
      <c r="H19" s="154">
        <f t="shared" si="1"/>
        <v>2025</v>
      </c>
      <c r="I19" s="154">
        <f t="shared" si="1"/>
        <v>2026</v>
      </c>
      <c r="J19" s="154">
        <f t="shared" si="1"/>
        <v>2027</v>
      </c>
      <c r="K19" s="154">
        <f t="shared" si="1"/>
        <v>2028</v>
      </c>
      <c r="L19" s="154">
        <f t="shared" si="1"/>
        <v>2029</v>
      </c>
      <c r="M19" s="154">
        <f t="shared" si="1"/>
        <v>2030</v>
      </c>
      <c r="N19" s="154">
        <f t="shared" si="1"/>
        <v>2031</v>
      </c>
      <c r="O19" s="154">
        <f t="shared" si="1"/>
        <v>2032</v>
      </c>
      <c r="P19" s="154">
        <f t="shared" si="1"/>
        <v>2033</v>
      </c>
      <c r="Q19" s="154">
        <f t="shared" si="1"/>
        <v>2034</v>
      </c>
      <c r="R19" s="154">
        <f t="shared" si="1"/>
        <v>2035</v>
      </c>
      <c r="S19" s="262">
        <f t="shared" si="1"/>
        <v>2036</v>
      </c>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row>
    <row r="20" spans="1:349" s="1" customFormat="1">
      <c r="A20" s="33"/>
      <c r="B20" s="318">
        <f>B8</f>
        <v>1</v>
      </c>
      <c r="C20" s="318" t="str">
        <f>C8</f>
        <v>Fringe</v>
      </c>
      <c r="D20" s="95"/>
      <c r="E20" s="96">
        <f>($E8-$D8)/5</f>
        <v>-24.6</v>
      </c>
      <c r="F20" s="96">
        <f>($E8-$D8)/5</f>
        <v>-24.6</v>
      </c>
      <c r="G20" s="96">
        <f>($E8-$D8)/5</f>
        <v>-24.6</v>
      </c>
      <c r="H20" s="96">
        <f>($E8-$D8)/5</f>
        <v>-24.6</v>
      </c>
      <c r="I20" s="96">
        <f>($E8-$D8)/5</f>
        <v>-24.6</v>
      </c>
      <c r="J20" s="96">
        <f>($F8-$E8)/5</f>
        <v>-35</v>
      </c>
      <c r="K20" s="96">
        <f>($F8-$E8)/5</f>
        <v>-35</v>
      </c>
      <c r="L20" s="96">
        <f>($F8-$E8)/5</f>
        <v>-35</v>
      </c>
      <c r="M20" s="96">
        <f>($F8-$E8)/5</f>
        <v>-35</v>
      </c>
      <c r="N20" s="96">
        <f>($F8-$E8)/5</f>
        <v>-35</v>
      </c>
      <c r="O20" s="96">
        <f>($G8-$F8)/5</f>
        <v>136.80000000000001</v>
      </c>
      <c r="P20" s="96">
        <f>($G8-$F8)/5</f>
        <v>136.80000000000001</v>
      </c>
      <c r="Q20" s="96">
        <f>($G8-$F8)/5</f>
        <v>136.80000000000001</v>
      </c>
      <c r="R20" s="96">
        <f>($G8-$F8)/5</f>
        <v>136.80000000000001</v>
      </c>
      <c r="S20" s="263">
        <f>($G8-$F8)/5</f>
        <v>136.80000000000001</v>
      </c>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row>
    <row r="21" spans="1:349" s="1" customFormat="1">
      <c r="A21" s="33"/>
      <c r="B21" s="319">
        <f t="shared" ref="B21:C24" si="2">B9</f>
        <v>2</v>
      </c>
      <c r="C21" s="319" t="str">
        <f t="shared" si="2"/>
        <v>Urban East</v>
      </c>
      <c r="D21" s="98"/>
      <c r="E21" s="97">
        <f t="shared" ref="E21:F24" si="3">($E9-$D9)/5</f>
        <v>1942.4</v>
      </c>
      <c r="F21" s="97">
        <f t="shared" si="3"/>
        <v>1942.4</v>
      </c>
      <c r="G21" s="97">
        <f t="shared" ref="G21:I21" si="4">($E9-$D9)/5</f>
        <v>1942.4</v>
      </c>
      <c r="H21" s="97">
        <f t="shared" si="4"/>
        <v>1942.4</v>
      </c>
      <c r="I21" s="97">
        <f t="shared" si="4"/>
        <v>1942.4</v>
      </c>
      <c r="J21" s="97">
        <f t="shared" ref="J21:K24" si="5">($F9-$E9)/5</f>
        <v>1915.6</v>
      </c>
      <c r="K21" s="97">
        <f t="shared" si="5"/>
        <v>1915.6</v>
      </c>
      <c r="L21" s="97">
        <f t="shared" ref="L21:M21" si="6">($F9-$E9)/5</f>
        <v>1915.6</v>
      </c>
      <c r="M21" s="97">
        <f t="shared" si="6"/>
        <v>1915.6</v>
      </c>
      <c r="N21" s="97">
        <f t="shared" ref="N21" si="7">($F9-$E9)/5</f>
        <v>1915.6</v>
      </c>
      <c r="O21" s="97">
        <f t="shared" ref="O21:O24" si="8">($G9-$F9)/5</f>
        <v>3019.8</v>
      </c>
      <c r="P21" s="97">
        <f t="shared" ref="P21:S21" si="9">($G9-$F9)/5</f>
        <v>3019.8</v>
      </c>
      <c r="Q21" s="97">
        <f t="shared" si="9"/>
        <v>3019.8</v>
      </c>
      <c r="R21" s="97">
        <f t="shared" si="9"/>
        <v>3019.8</v>
      </c>
      <c r="S21" s="264">
        <f t="shared" si="9"/>
        <v>3019.8</v>
      </c>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c r="KZ21" s="33"/>
      <c r="LA21" s="33"/>
      <c r="LB21" s="33"/>
      <c r="LC21" s="33"/>
      <c r="LD21" s="33"/>
      <c r="LE21" s="33"/>
      <c r="LF21" s="33"/>
      <c r="LG21" s="33"/>
      <c r="LH21" s="33"/>
      <c r="LI21" s="33"/>
      <c r="LJ21" s="33"/>
      <c r="LK21" s="33"/>
      <c r="LL21" s="33"/>
      <c r="LM21" s="33"/>
      <c r="LN21" s="33"/>
      <c r="LO21" s="33"/>
      <c r="LP21" s="33"/>
      <c r="LQ21" s="33"/>
      <c r="LR21" s="33"/>
      <c r="LS21" s="33"/>
      <c r="LT21" s="33"/>
      <c r="LU21" s="33"/>
      <c r="LV21" s="33"/>
      <c r="LW21" s="33"/>
      <c r="LX21" s="33"/>
      <c r="LY21" s="33"/>
      <c r="LZ21" s="33"/>
      <c r="MA21" s="33"/>
      <c r="MB21" s="33"/>
      <c r="MC21" s="33"/>
      <c r="MD21" s="33"/>
      <c r="ME21" s="33"/>
      <c r="MF21" s="33"/>
      <c r="MG21" s="33"/>
      <c r="MH21" s="33"/>
      <c r="MI21" s="33"/>
      <c r="MJ21" s="33"/>
      <c r="MK21" s="33"/>
    </row>
    <row r="22" spans="1:349" s="1" customFormat="1">
      <c r="A22" s="33"/>
      <c r="B22" s="319">
        <f t="shared" si="2"/>
        <v>3</v>
      </c>
      <c r="C22" s="319" t="str">
        <f t="shared" si="2"/>
        <v>Urban North</v>
      </c>
      <c r="D22" s="98"/>
      <c r="E22" s="97">
        <f t="shared" si="3"/>
        <v>6523.6</v>
      </c>
      <c r="F22" s="97">
        <f t="shared" si="3"/>
        <v>6523.6</v>
      </c>
      <c r="G22" s="97">
        <f t="shared" ref="G22:I22" si="10">($E10-$D10)/5</f>
        <v>6523.6</v>
      </c>
      <c r="H22" s="97">
        <f t="shared" si="10"/>
        <v>6523.6</v>
      </c>
      <c r="I22" s="97">
        <f t="shared" si="10"/>
        <v>6523.6</v>
      </c>
      <c r="J22" s="97">
        <f t="shared" si="5"/>
        <v>5536.6</v>
      </c>
      <c r="K22" s="97">
        <f t="shared" si="5"/>
        <v>5536.6</v>
      </c>
      <c r="L22" s="97">
        <f t="shared" ref="L22:M22" si="11">($F10-$E10)/5</f>
        <v>5536.6</v>
      </c>
      <c r="M22" s="97">
        <f t="shared" si="11"/>
        <v>5536.6</v>
      </c>
      <c r="N22" s="97">
        <f t="shared" ref="N22" si="12">($F10-$E10)/5</f>
        <v>5536.6</v>
      </c>
      <c r="O22" s="97">
        <f t="shared" si="8"/>
        <v>5173.6000000000004</v>
      </c>
      <c r="P22" s="97">
        <f t="shared" ref="P22:S22" si="13">($G10-$F10)/5</f>
        <v>5173.6000000000004</v>
      </c>
      <c r="Q22" s="97">
        <f t="shared" si="13"/>
        <v>5173.6000000000004</v>
      </c>
      <c r="R22" s="97">
        <f t="shared" si="13"/>
        <v>5173.6000000000004</v>
      </c>
      <c r="S22" s="264">
        <f t="shared" si="13"/>
        <v>5173.6000000000004</v>
      </c>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c r="KZ22" s="33"/>
      <c r="LA22" s="33"/>
      <c r="LB22" s="33"/>
      <c r="LC22" s="33"/>
      <c r="LD22" s="33"/>
      <c r="LE22" s="33"/>
      <c r="LF22" s="33"/>
      <c r="LG22" s="33"/>
      <c r="LH22" s="33"/>
      <c r="LI22" s="33"/>
      <c r="LJ22" s="33"/>
      <c r="LK22" s="33"/>
      <c r="LL22" s="33"/>
      <c r="LM22" s="33"/>
      <c r="LN22" s="33"/>
      <c r="LO22" s="33"/>
      <c r="LP22" s="33"/>
      <c r="LQ22" s="33"/>
      <c r="LR22" s="33"/>
      <c r="LS22" s="33"/>
      <c r="LT22" s="33"/>
      <c r="LU22" s="33"/>
      <c r="LV22" s="33"/>
      <c r="LW22" s="33"/>
      <c r="LX22" s="33"/>
      <c r="LY22" s="33"/>
      <c r="LZ22" s="33"/>
      <c r="MA22" s="33"/>
      <c r="MB22" s="33"/>
      <c r="MC22" s="33"/>
      <c r="MD22" s="33"/>
      <c r="ME22" s="33"/>
      <c r="MF22" s="33"/>
      <c r="MG22" s="33"/>
      <c r="MH22" s="33"/>
      <c r="MI22" s="33"/>
      <c r="MJ22" s="33"/>
      <c r="MK22" s="33"/>
    </row>
    <row r="23" spans="1:349" s="1" customFormat="1">
      <c r="A23" s="33"/>
      <c r="B23" s="319">
        <f t="shared" si="2"/>
        <v>4</v>
      </c>
      <c r="C23" s="319" t="str">
        <f t="shared" si="2"/>
        <v>Urban South</v>
      </c>
      <c r="D23" s="98"/>
      <c r="E23" s="97">
        <f t="shared" si="3"/>
        <v>3869.4</v>
      </c>
      <c r="F23" s="97">
        <f t="shared" si="3"/>
        <v>3869.4</v>
      </c>
      <c r="G23" s="97">
        <f t="shared" ref="G23:I23" si="14">($E11-$D11)/5</f>
        <v>3869.4</v>
      </c>
      <c r="H23" s="97">
        <f t="shared" si="14"/>
        <v>3869.4</v>
      </c>
      <c r="I23" s="97">
        <f t="shared" si="14"/>
        <v>3869.4</v>
      </c>
      <c r="J23" s="97">
        <f t="shared" si="5"/>
        <v>4400.8</v>
      </c>
      <c r="K23" s="97">
        <f t="shared" si="5"/>
        <v>4400.8</v>
      </c>
      <c r="L23" s="97">
        <f t="shared" ref="L23:M23" si="15">($F11-$E11)/5</f>
        <v>4400.8</v>
      </c>
      <c r="M23" s="97">
        <f t="shared" si="15"/>
        <v>4400.8</v>
      </c>
      <c r="N23" s="97">
        <f t="shared" ref="N23" si="16">($F11-$E11)/5</f>
        <v>4400.8</v>
      </c>
      <c r="O23" s="97">
        <f t="shared" si="8"/>
        <v>5587.8</v>
      </c>
      <c r="P23" s="97">
        <f t="shared" ref="P23:S23" si="17">($G11-$F11)/5</f>
        <v>5587.8</v>
      </c>
      <c r="Q23" s="97">
        <f t="shared" si="17"/>
        <v>5587.8</v>
      </c>
      <c r="R23" s="97">
        <f t="shared" si="17"/>
        <v>5587.8</v>
      </c>
      <c r="S23" s="264">
        <f t="shared" si="17"/>
        <v>5587.8</v>
      </c>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c r="KZ23" s="33"/>
      <c r="LA23" s="33"/>
      <c r="LB23" s="33"/>
      <c r="LC23" s="33"/>
      <c r="LD23" s="33"/>
      <c r="LE23" s="33"/>
      <c r="LF23" s="33"/>
      <c r="LG23" s="33"/>
      <c r="LH23" s="33"/>
      <c r="LI23" s="33"/>
      <c r="LJ23" s="33"/>
      <c r="LK23" s="33"/>
      <c r="LL23" s="33"/>
      <c r="LM23" s="33"/>
      <c r="LN23" s="33"/>
      <c r="LO23" s="33"/>
      <c r="LP23" s="33"/>
      <c r="LQ23" s="33"/>
      <c r="LR23" s="33"/>
      <c r="LS23" s="33"/>
      <c r="LT23" s="33"/>
      <c r="LU23" s="33"/>
      <c r="LV23" s="33"/>
      <c r="LW23" s="33"/>
      <c r="LX23" s="33"/>
      <c r="LY23" s="33"/>
      <c r="LZ23" s="33"/>
      <c r="MA23" s="33"/>
      <c r="MB23" s="33"/>
      <c r="MC23" s="33"/>
      <c r="MD23" s="33"/>
      <c r="ME23" s="33"/>
      <c r="MF23" s="33"/>
      <c r="MG23" s="33"/>
      <c r="MH23" s="33"/>
      <c r="MI23" s="33"/>
      <c r="MJ23" s="33"/>
      <c r="MK23" s="33"/>
    </row>
    <row r="24" spans="1:349" s="1" customFormat="1" ht="17.25" thickBot="1">
      <c r="A24" s="33"/>
      <c r="B24" s="320">
        <f t="shared" si="2"/>
        <v>5</v>
      </c>
      <c r="C24" s="320" t="str">
        <f t="shared" si="2"/>
        <v>Urban West</v>
      </c>
      <c r="D24" s="129"/>
      <c r="E24" s="130">
        <f t="shared" si="3"/>
        <v>1379.6</v>
      </c>
      <c r="F24" s="130">
        <f t="shared" si="3"/>
        <v>1379.6</v>
      </c>
      <c r="G24" s="130">
        <f t="shared" ref="G24:I24" si="18">($E12-$D12)/5</f>
        <v>1379.6</v>
      </c>
      <c r="H24" s="130">
        <f t="shared" si="18"/>
        <v>1379.6</v>
      </c>
      <c r="I24" s="130">
        <f t="shared" si="18"/>
        <v>1379.6</v>
      </c>
      <c r="J24" s="130">
        <f t="shared" si="5"/>
        <v>1312.8</v>
      </c>
      <c r="K24" s="130">
        <f t="shared" si="5"/>
        <v>1312.8</v>
      </c>
      <c r="L24" s="130">
        <f t="shared" ref="L24:M24" si="19">($F12-$E12)/5</f>
        <v>1312.8</v>
      </c>
      <c r="M24" s="130">
        <f t="shared" si="19"/>
        <v>1312.8</v>
      </c>
      <c r="N24" s="130">
        <f t="shared" ref="N24" si="20">($F12-$E12)/5</f>
        <v>1312.8</v>
      </c>
      <c r="O24" s="130">
        <f t="shared" si="8"/>
        <v>1821.8</v>
      </c>
      <c r="P24" s="130">
        <f t="shared" ref="P24:S24" si="21">($G12-$F12)/5</f>
        <v>1821.8</v>
      </c>
      <c r="Q24" s="130">
        <f t="shared" si="21"/>
        <v>1821.8</v>
      </c>
      <c r="R24" s="130">
        <f t="shared" si="21"/>
        <v>1821.8</v>
      </c>
      <c r="S24" s="265">
        <f t="shared" si="21"/>
        <v>1821.8</v>
      </c>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c r="KZ24" s="33"/>
      <c r="LA24" s="33"/>
      <c r="LB24" s="33"/>
      <c r="LC24" s="33"/>
      <c r="LD24" s="33"/>
      <c r="LE24" s="33"/>
      <c r="LF24" s="33"/>
      <c r="LG24" s="33"/>
      <c r="LH24" s="33"/>
      <c r="LI24" s="33"/>
      <c r="LJ24" s="33"/>
      <c r="LK24" s="33"/>
      <c r="LL24" s="33"/>
      <c r="LM24" s="33"/>
      <c r="LN24" s="33"/>
      <c r="LO24" s="33"/>
      <c r="LP24" s="33"/>
      <c r="LQ24" s="33"/>
      <c r="LR24" s="33"/>
      <c r="LS24" s="33"/>
      <c r="LT24" s="33"/>
      <c r="LU24" s="33"/>
      <c r="LV24" s="33"/>
      <c r="LW24" s="33"/>
      <c r="LX24" s="33"/>
      <c r="LY24" s="33"/>
      <c r="LZ24" s="33"/>
      <c r="MA24" s="33"/>
      <c r="MB24" s="33"/>
      <c r="MC24" s="33"/>
      <c r="MD24" s="33"/>
      <c r="ME24" s="33"/>
      <c r="MF24" s="33"/>
      <c r="MG24" s="33"/>
      <c r="MH24" s="33"/>
      <c r="MI24" s="33"/>
      <c r="MJ24" s="33"/>
      <c r="MK24" s="33"/>
    </row>
  </sheetData>
  <sheetProtection selectLockedCells="1"/>
  <mergeCells count="3">
    <mergeCell ref="B2:L2"/>
    <mergeCell ref="B3:L3"/>
    <mergeCell ref="B5:L5"/>
  </mergeCells>
  <hyperlinks>
    <hyperlink ref="B4" location="'Navigation Pane'!A1" display="Return to Navigation Pane" xr:uid="{58AB5027-BC31-4FDD-B807-F505D0DDA517}"/>
  </hyperlinks>
  <pageMargins left="0.23622047244094491" right="0.23622047244094491" top="0.74803149606299213" bottom="0.74803149606299213" header="0.31496062992125984" footer="0.31496062992125984"/>
  <pageSetup paperSize="9" scale="60" fitToHeight="0"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J14"/>
  <sheetViews>
    <sheetView zoomScale="70" zoomScaleNormal="70" zoomScalePageLayoutView="55" workbookViewId="0"/>
  </sheetViews>
  <sheetFormatPr defaultColWidth="25.625" defaultRowHeight="16.5"/>
  <cols>
    <col min="1" max="1" width="6.125" style="18" customWidth="1"/>
    <col min="2" max="10" width="22.625" style="18" customWidth="1"/>
    <col min="11" max="16384" width="25.625" style="18"/>
  </cols>
  <sheetData>
    <row r="1" spans="1:10">
      <c r="B1" s="171" t="s">
        <v>49</v>
      </c>
    </row>
    <row r="2" spans="1:10" ht="35.25" customHeight="1">
      <c r="B2" s="428" t="str">
        <f>'Navigation Pane'!B2</f>
        <v>Brisbane City Council</v>
      </c>
      <c r="C2" s="428"/>
      <c r="D2" s="428"/>
      <c r="E2" s="428"/>
      <c r="F2" s="428"/>
      <c r="G2" s="428"/>
      <c r="H2" s="428"/>
      <c r="I2" s="428"/>
      <c r="J2" s="428"/>
    </row>
    <row r="3" spans="1:10" ht="26.25">
      <c r="B3" s="429" t="s">
        <v>115</v>
      </c>
      <c r="C3" s="429"/>
      <c r="D3" s="429"/>
      <c r="E3" s="429"/>
      <c r="F3" s="429"/>
      <c r="G3" s="429"/>
      <c r="H3" s="429"/>
      <c r="I3" s="429"/>
      <c r="J3" s="429"/>
    </row>
    <row r="4" spans="1:10" ht="20.25" customHeight="1">
      <c r="A4" s="35"/>
    </row>
    <row r="5" spans="1:10" ht="36" customHeight="1">
      <c r="A5" s="36"/>
      <c r="B5" s="430" t="s">
        <v>80</v>
      </c>
      <c r="C5" s="430"/>
      <c r="D5" s="430"/>
      <c r="E5" s="430"/>
      <c r="F5" s="430"/>
      <c r="G5" s="430"/>
      <c r="H5" s="430"/>
      <c r="I5" s="430"/>
      <c r="J5" s="430"/>
    </row>
    <row r="6" spans="1:10" ht="19.5" customHeight="1" thickBot="1"/>
    <row r="7" spans="1:10" ht="21" customHeight="1" thickBot="1">
      <c r="B7" s="431" t="s">
        <v>56</v>
      </c>
      <c r="C7" s="433"/>
      <c r="D7" s="431" t="s">
        <v>57</v>
      </c>
      <c r="E7" s="432"/>
      <c r="F7" s="433"/>
      <c r="G7" s="431" t="s">
        <v>112</v>
      </c>
      <c r="H7" s="432"/>
      <c r="I7" s="433"/>
      <c r="J7" s="434" t="s">
        <v>113</v>
      </c>
    </row>
    <row r="8" spans="1:10" ht="30" customHeight="1" thickBot="1">
      <c r="B8" s="131" t="s">
        <v>51</v>
      </c>
      <c r="C8" s="131" t="s">
        <v>64</v>
      </c>
      <c r="D8" s="131" t="s">
        <v>60</v>
      </c>
      <c r="E8" s="131" t="s">
        <v>59</v>
      </c>
      <c r="F8" s="131" t="s">
        <v>58</v>
      </c>
      <c r="G8" s="131" t="s">
        <v>61</v>
      </c>
      <c r="H8" s="131" t="s">
        <v>62</v>
      </c>
      <c r="I8" s="131" t="s">
        <v>63</v>
      </c>
      <c r="J8" s="435"/>
    </row>
    <row r="9" spans="1:10">
      <c r="B9" s="436">
        <f>'Catchment Demand - LFCF'!B20</f>
        <v>1</v>
      </c>
      <c r="C9" s="445" t="str">
        <f>'Catchment Demand - LFCF'!C20</f>
        <v>Fringe</v>
      </c>
      <c r="D9" s="440">
        <f>IFERROR(VLOOKUP($C9,'Catchment Demand - LFCF'!$C$8:$J$14,2,FALSE),"")</f>
        <v>20937</v>
      </c>
      <c r="E9" s="442">
        <f>IFERROR(VLOOKUP($C9,'Catchment Demand - LFCF'!$C$8:$J$14,8,FALSE),"")</f>
        <v>110.52772693513626</v>
      </c>
      <c r="F9" s="438">
        <f>IFERROR(D9+E9,"")</f>
        <v>21047.527726935135</v>
      </c>
      <c r="G9" s="28">
        <f>HLOOKUP(C9,'Existing Trunk Assets - LFCF'!$AD$9:$AH$12,4,FALSE)</f>
        <v>0</v>
      </c>
      <c r="H9" s="28">
        <f>HLOOKUP(C9,'Future Trunk Assets - LFCF'!$AV$12:$AZ$14,3,FALSE)</f>
        <v>1282437.5423539358</v>
      </c>
      <c r="I9" s="66">
        <f>G9+H9</f>
        <v>1282437.5423539358</v>
      </c>
      <c r="J9" s="67">
        <f>IFERROR(I9/F9,0)</f>
        <v>60.930554837220292</v>
      </c>
    </row>
    <row r="10" spans="1:10">
      <c r="B10" s="437">
        <f>'Catchment Demand - LFCF'!B21</f>
        <v>2</v>
      </c>
      <c r="C10" s="446" t="str">
        <f>'Catchment Demand - LFCF'!C21</f>
        <v>Urban East</v>
      </c>
      <c r="D10" s="441">
        <f>IFERROR(VLOOKUP($C10,'Catchment Demand - LFCF'!$C$8:$J$14,2,FALSE),"")</f>
        <v>281926</v>
      </c>
      <c r="E10" s="443">
        <f>IFERROR(VLOOKUP($C10,'Catchment Demand - LFCF'!$C$8:$J$14,8,FALSE),"")</f>
        <v>21453.687649975127</v>
      </c>
      <c r="F10" s="439">
        <f t="shared" ref="F10:F13" si="0">IFERROR(D10+E10,"")</f>
        <v>303379.68764997512</v>
      </c>
      <c r="G10" s="28">
        <f>HLOOKUP(C10,'Existing Trunk Assets - LFCF'!$AD$9:$AH$12,4,FALSE)</f>
        <v>73946878.701298699</v>
      </c>
      <c r="H10" s="28">
        <f>HLOOKUP(C10,'Future Trunk Assets - LFCF'!$AV$12:$AZ$14,3,FALSE)</f>
        <v>20598065.962420169</v>
      </c>
      <c r="I10" s="28">
        <f t="shared" ref="I10:I13" si="1">G10+H10</f>
        <v>94544944.663718864</v>
      </c>
      <c r="J10" s="29">
        <f t="shared" ref="J10:J13" si="2">IFERROR(I10/F10,0)</f>
        <v>311.63900719945451</v>
      </c>
    </row>
    <row r="11" spans="1:10">
      <c r="B11" s="437">
        <f>'Catchment Demand - LFCF'!B22</f>
        <v>3</v>
      </c>
      <c r="C11" s="446" t="str">
        <f>'Catchment Demand - LFCF'!C22</f>
        <v>Urban North</v>
      </c>
      <c r="D11" s="441">
        <f>IFERROR(VLOOKUP($C11,'Catchment Demand - LFCF'!$C$8:$J$14,2,FALSE),"")</f>
        <v>396666</v>
      </c>
      <c r="E11" s="443">
        <f>IFERROR(VLOOKUP($C11,'Catchment Demand - LFCF'!$C$8:$J$14,8,FALSE),"")</f>
        <v>57395.040332076213</v>
      </c>
      <c r="F11" s="439">
        <f t="shared" si="0"/>
        <v>454061.0403320762</v>
      </c>
      <c r="G11" s="28">
        <f>HLOOKUP(C11,'Existing Trunk Assets - LFCF'!$AD$9:$AH$12,4,FALSE)</f>
        <v>509010309.09162354</v>
      </c>
      <c r="H11" s="28">
        <f>HLOOKUP(C11,'Future Trunk Assets - LFCF'!$AV$12:$AZ$14,3,FALSE)</f>
        <v>33357517.557166565</v>
      </c>
      <c r="I11" s="28">
        <f t="shared" si="1"/>
        <v>542367826.64879012</v>
      </c>
      <c r="J11" s="29">
        <f t="shared" si="2"/>
        <v>1194.4821917602335</v>
      </c>
    </row>
    <row r="12" spans="1:10">
      <c r="B12" s="437">
        <f>'Catchment Demand - LFCF'!B23</f>
        <v>4</v>
      </c>
      <c r="C12" s="446" t="str">
        <f>'Catchment Demand - LFCF'!C23</f>
        <v>Urban South</v>
      </c>
      <c r="D12" s="441">
        <f>IFERROR(VLOOKUP($C12,'Catchment Demand - LFCF'!$C$8:$J$14,2,FALSE),"")</f>
        <v>385242</v>
      </c>
      <c r="E12" s="443">
        <f>IFERROR(VLOOKUP($C12,'Catchment Demand - LFCF'!$C$8:$J$14,8,FALSE),"")</f>
        <v>43572.935734573439</v>
      </c>
      <c r="F12" s="439">
        <f t="shared" si="0"/>
        <v>428814.93573457346</v>
      </c>
      <c r="G12" s="28">
        <f>HLOOKUP(C12,'Existing Trunk Assets - LFCF'!$AD$9:$AH$12,4,FALSE)</f>
        <v>93917782.282226384</v>
      </c>
      <c r="H12" s="28">
        <f>HLOOKUP(C12,'Future Trunk Assets - LFCF'!$AV$12:$AZ$14,3,FALSE)</f>
        <v>27337096.140375141</v>
      </c>
      <c r="I12" s="28">
        <f t="shared" si="1"/>
        <v>121254878.42260152</v>
      </c>
      <c r="J12" s="29">
        <f t="shared" si="2"/>
        <v>282.7673859234593</v>
      </c>
    </row>
    <row r="13" spans="1:10" ht="17.25" thickBot="1">
      <c r="B13" s="437">
        <f>'Catchment Demand - LFCF'!B24</f>
        <v>5</v>
      </c>
      <c r="C13" s="447" t="str">
        <f>'Catchment Demand - LFCF'!C24</f>
        <v>Urban West</v>
      </c>
      <c r="D13" s="441">
        <f>IFERROR(VLOOKUP($C13,'Catchment Demand - LFCF'!$C$8:$J$14,2,FALSE),"")</f>
        <v>255491</v>
      </c>
      <c r="E13" s="444">
        <f>IFERROR(VLOOKUP($C13,'Catchment Demand - LFCF'!$C$8:$J$14,8,FALSE),"")</f>
        <v>14318.056580818058</v>
      </c>
      <c r="F13" s="439">
        <f t="shared" si="0"/>
        <v>269809.05658081808</v>
      </c>
      <c r="G13" s="28">
        <f>HLOOKUP(C13,'Existing Trunk Assets - LFCF'!$AD$9:$AH$12,4,FALSE)</f>
        <v>34607871.502978802</v>
      </c>
      <c r="H13" s="28">
        <f>HLOOKUP(C13,'Future Trunk Assets - LFCF'!$AV$12:$AZ$14,3,FALSE)</f>
        <v>16723591.797684196</v>
      </c>
      <c r="I13" s="28">
        <f t="shared" si="1"/>
        <v>51331463.300662994</v>
      </c>
      <c r="J13" s="29">
        <f t="shared" si="2"/>
        <v>190.25107589480513</v>
      </c>
    </row>
    <row r="14" spans="1:10" ht="17.25" thickBot="1">
      <c r="B14" s="37"/>
      <c r="C14" s="38" t="s">
        <v>42</v>
      </c>
      <c r="D14" s="30">
        <f t="shared" ref="D14:J14" si="3">SUM(D9:D13)</f>
        <v>1340262</v>
      </c>
      <c r="E14" s="30">
        <f t="shared" si="3"/>
        <v>136850.24802437797</v>
      </c>
      <c r="F14" s="30">
        <f t="shared" si="3"/>
        <v>1477112.248024378</v>
      </c>
      <c r="G14" s="31">
        <f t="shared" si="3"/>
        <v>711482841.57812738</v>
      </c>
      <c r="H14" s="31">
        <f t="shared" si="3"/>
        <v>99298709</v>
      </c>
      <c r="I14" s="31">
        <f t="shared" si="3"/>
        <v>810781550.57812738</v>
      </c>
      <c r="J14" s="31">
        <f t="shared" si="3"/>
        <v>2040.0702156151729</v>
      </c>
    </row>
  </sheetData>
  <sheetProtection selectLockedCells="1"/>
  <mergeCells count="7">
    <mergeCell ref="B2:J2"/>
    <mergeCell ref="B3:J3"/>
    <mergeCell ref="B5:J5"/>
    <mergeCell ref="D7:F7"/>
    <mergeCell ref="G7:I7"/>
    <mergeCell ref="B7:C7"/>
    <mergeCell ref="J7:J8"/>
  </mergeCells>
  <hyperlinks>
    <hyperlink ref="B1" location="'Navigation Pane'!A1" display="Return to Navigation Pane" xr:uid="{51E83748-B9AD-4C04-8C0E-6828292F177D}"/>
  </hyperlinks>
  <pageMargins left="0.23622047244094491" right="0.23622047244094491" top="0.74803149606299213" bottom="0.74803149606299213" header="0.31496062992125984" footer="0.31496062992125984"/>
  <pageSetup paperSize="9" scale="62" fitToHeight="0" pageOrder="overThenDown" orientation="landscape" r:id="rId1"/>
  <headerFooter>
    <oddFooter>&amp;L&amp;"Arial,Regular"&amp;10Schedule of Works Model - Land for Community Facilities Network - &amp;A
&amp;"Arial,Bold"&amp;K000000Effective 27th June 2025&amp;R&amp;"Arial,Regular"&amp;10Page &amp;P of &amp;N</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Navigation Pane</vt:lpstr>
      <vt:lpstr>General Input Sheet</vt:lpstr>
      <vt:lpstr>Existing Trunk Assets - LFCF</vt:lpstr>
      <vt:lpstr>Future Trunk Assets - LFCF</vt:lpstr>
      <vt:lpstr>Catchment Demand - LFCF</vt:lpstr>
      <vt:lpstr>Summary Cost Schedule</vt:lpstr>
      <vt:lpstr>AssetBeta</vt:lpstr>
      <vt:lpstr>CapStr</vt:lpstr>
      <vt:lpstr>'Catchment Demand - LFCF'!CatchName</vt:lpstr>
      <vt:lpstr>Debt</vt:lpstr>
      <vt:lpstr>Histindex</vt:lpstr>
      <vt:lpstr>'Catchment Demand - LFCF'!ICSInf</vt:lpstr>
      <vt:lpstr>ICSInf</vt:lpstr>
      <vt:lpstr>Landind</vt:lpstr>
      <vt:lpstr>MArgin</vt:lpstr>
      <vt:lpstr>Parkscatch</vt:lpstr>
      <vt:lpstr>PPI</vt:lpstr>
      <vt:lpstr>'Catchment Demand - LFCF'!Print_Area</vt:lpstr>
      <vt:lpstr>'Existing Trunk Assets - LFCF'!Print_Area</vt:lpstr>
      <vt:lpstr>'Future Trunk Assets - LFCF'!Print_Area</vt:lpstr>
      <vt:lpstr>'General Input Sheet'!Print_Area</vt:lpstr>
      <vt:lpstr>'Navigation Pane'!Print_Area</vt:lpstr>
      <vt:lpstr>'Summary Cost Schedule'!Print_Area</vt:lpstr>
      <vt:lpstr>'Existing Trunk Assets - LFCF'!Print_Titles</vt:lpstr>
      <vt:lpstr>'Future Trunk Assets - LFCF'!Print_Titles</vt:lpstr>
      <vt:lpstr>Risk</vt:lpstr>
      <vt:lpstr>'Catchment Demand - LFCF'!SENS</vt:lpstr>
      <vt:lpstr>TENYr</vt:lpstr>
      <vt:lpstr>WACC</vt:lpstr>
      <vt:lpstr>WACC1</vt:lpstr>
      <vt:lpstr>WACC2</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2024-11-06T04:34:14Z</dcterms:created>
  <dcterms:modified xsi:type="dcterms:W3CDTF">2025-04-04T06:29:01Z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2024-11-06T04:34:18Z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90736d10-78c2-4482-b839-7d14f5955c37</vt:lpwstr>
  </property>
  <property fmtid="{D5CDD505-2E9C-101B-9397-08002B2CF9AE}" pid="8" name="MSIP_Label_8b1ee035-5707-4242-a1ea-c505f8033d0a_ContentBits">
    <vt:lpwstr>2</vt:lpwstr>
  </property>
</Properties>
</file>