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102799\Downloads\"/>
    </mc:Choice>
  </mc:AlternateContent>
  <xr:revisionPtr revIDLastSave="0" documentId="8_{17F30E5A-1589-49F5-8E57-FB74627BED84}" xr6:coauthVersionLast="47" xr6:coauthVersionMax="47" xr10:uidLastSave="{00000000-0000-0000-0000-000000000000}"/>
  <bookViews>
    <workbookView xWindow="-110" yWindow="-110" windowWidth="22780" windowHeight="14660" tabRatio="827" xr2:uid="{00000000-000D-0000-FFFF-FFFF00000000}"/>
  </bookViews>
  <sheets>
    <sheet name="Navigation Pane" sheetId="1" r:id="rId1"/>
    <sheet name="General Input Sheet" sheetId="2" r:id="rId2"/>
    <sheet name="Exist Trunk Assets - LFCF1" sheetId="46" r:id="rId3"/>
    <sheet name="Exist Trunk Assets - LFCF" sheetId="50" r:id="rId4"/>
    <sheet name="Future Trunk Assets - LFCF" sheetId="39" r:id="rId5"/>
    <sheet name="Catchment Demand -LFCF" sheetId="23" r:id="rId6"/>
    <sheet name="Summary Cost Schedule" sheetId="9" r:id="rId7"/>
  </sheets>
  <definedNames>
    <definedName name="_xlnm._FilterDatabase" localSheetId="2" hidden="1">'Exist Trunk Assets - LFCF1'!$AD$12:$AH$442</definedName>
    <definedName name="_xlnm._FilterDatabase" localSheetId="4" hidden="1">'Future Trunk Assets - LFCF'!$AY$14:$AY$22</definedName>
    <definedName name="AssetBeta">'General Input Sheet'!$G$27</definedName>
    <definedName name="CapStr">'General Input Sheet'!$G$25</definedName>
    <definedName name="CatchName" localSheetId="5">'Catchment Demand -LFCF'!$C$8:$C$37</definedName>
    <definedName name="Chargeind">'General Input Sheet'!$G$48</definedName>
    <definedName name="CHGOPTION">#REF!</definedName>
    <definedName name="Debt">'General Input Sheet'!$G$28</definedName>
    <definedName name="Histindex">'General Input Sheet'!$E$38:$G$44</definedName>
    <definedName name="ICSInf" localSheetId="5">'General Input Sheet'!$G$51</definedName>
    <definedName name="ICSInf">'General Input Sheet'!$G$49</definedName>
    <definedName name="Landind">'General Input Sheet'!$G$46</definedName>
    <definedName name="MArgin">'General Input Sheet'!$G$21</definedName>
    <definedName name="Parkscatch">'Catchment Demand -LFCF'!$C$8:$H$37</definedName>
    <definedName name="parkslandcode">'Exist Trunk Assets - LFCF1'!$B$409:$B$434</definedName>
    <definedName name="PPI">'General Input Sheet'!$G$35</definedName>
    <definedName name="_xlnm.Print_Area" localSheetId="5">'Catchment Demand -LFCF'!$A$1:$AH$47</definedName>
    <definedName name="_xlnm.Print_Area" localSheetId="3">'Exist Trunk Assets - LFCF'!$A$1:$G$18</definedName>
    <definedName name="_xlnm.Print_Area" localSheetId="2">'Exist Trunk Assets - LFCF1'!$A$1:$AH$443</definedName>
    <definedName name="_xlnm.Print_Area" localSheetId="4">'Future Trunk Assets - LFCF'!$A$2:$BD$22</definedName>
    <definedName name="_xlnm.Print_Area" localSheetId="1">'General Input Sheet'!$A$1:$L$52</definedName>
    <definedName name="_xlnm.Print_Area" localSheetId="0">'Navigation Pane'!$A$1:$P$24</definedName>
    <definedName name="_xlnm.Print_Area" localSheetId="6">'Summary Cost Schedule'!$A$1:$K$15</definedName>
    <definedName name="_xlnm.Print_Titles" localSheetId="2">'Exist Trunk Assets - LFCF1'!$9:$10</definedName>
    <definedName name="Risk">'General Input Sheet'!$G$26</definedName>
    <definedName name="SENS" localSheetId="5">'General Input Sheet'!$G$34</definedName>
    <definedName name="TENYr">'General Input Sheet'!$G$19</definedName>
    <definedName name="WACC">'General Input Sheet'!$G$32</definedName>
    <definedName name="WACC1">'General Input Sheet'!$G$23</definedName>
    <definedName name="WACC2">'General Input Sheet'!$G$30</definedName>
    <definedName name="YEAR">'General Input Sheet'!$G$8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9" l="1"/>
  <c r="H12" i="9"/>
  <c r="H13" i="9"/>
  <c r="H14" i="9"/>
  <c r="H10" i="9"/>
  <c r="O13" i="46" l="1"/>
  <c r="O14" i="46"/>
  <c r="O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72" i="46"/>
  <c r="O73" i="46"/>
  <c r="O74" i="46"/>
  <c r="O75" i="46"/>
  <c r="O76" i="46"/>
  <c r="O77" i="46"/>
  <c r="O78" i="46"/>
  <c r="O79" i="46"/>
  <c r="O80" i="46"/>
  <c r="O81" i="46"/>
  <c r="O82" i="46"/>
  <c r="O83" i="46"/>
  <c r="O84" i="46"/>
  <c r="O85" i="46"/>
  <c r="O86" i="46"/>
  <c r="O87" i="46"/>
  <c r="O88" i="46"/>
  <c r="O89" i="46"/>
  <c r="O90" i="46"/>
  <c r="O91" i="46"/>
  <c r="O92" i="46"/>
  <c r="O93" i="46"/>
  <c r="O94" i="46"/>
  <c r="O95" i="46"/>
  <c r="O96" i="46"/>
  <c r="O97" i="46"/>
  <c r="O98" i="46"/>
  <c r="O99" i="46"/>
  <c r="O100" i="46"/>
  <c r="O101" i="46"/>
  <c r="O102" i="46"/>
  <c r="O103" i="46"/>
  <c r="O104" i="46"/>
  <c r="O105" i="46"/>
  <c r="O106" i="46"/>
  <c r="O107" i="46"/>
  <c r="O108" i="46"/>
  <c r="O109" i="46"/>
  <c r="O110" i="46"/>
  <c r="O111" i="46"/>
  <c r="O112" i="46"/>
  <c r="O113" i="46"/>
  <c r="O114" i="46"/>
  <c r="O115" i="46"/>
  <c r="O116" i="46"/>
  <c r="O117" i="46"/>
  <c r="O118" i="46"/>
  <c r="O119" i="46"/>
  <c r="O120" i="46"/>
  <c r="O121" i="46"/>
  <c r="O122" i="46"/>
  <c r="O123" i="46"/>
  <c r="O124" i="46"/>
  <c r="O125" i="46"/>
  <c r="O126" i="46"/>
  <c r="O127" i="46"/>
  <c r="O128" i="46"/>
  <c r="O129" i="46"/>
  <c r="O130" i="46"/>
  <c r="O131" i="46"/>
  <c r="O132" i="46"/>
  <c r="O133" i="46"/>
  <c r="O134" i="46"/>
  <c r="O135" i="46"/>
  <c r="O136" i="46"/>
  <c r="O137" i="46"/>
  <c r="O138" i="46"/>
  <c r="O139" i="46"/>
  <c r="O140" i="46"/>
  <c r="O141" i="46"/>
  <c r="O142" i="46"/>
  <c r="O143" i="46"/>
  <c r="O144" i="46"/>
  <c r="O145" i="46"/>
  <c r="O146" i="46"/>
  <c r="O147" i="46"/>
  <c r="O148" i="46"/>
  <c r="O149" i="46"/>
  <c r="O150" i="46"/>
  <c r="O151" i="46"/>
  <c r="O152" i="46"/>
  <c r="O153" i="46"/>
  <c r="O154" i="46"/>
  <c r="O155" i="46"/>
  <c r="O156" i="46"/>
  <c r="O157" i="46"/>
  <c r="O158" i="46"/>
  <c r="O159" i="46"/>
  <c r="O160" i="46"/>
  <c r="O161" i="46"/>
  <c r="O162" i="46"/>
  <c r="O163" i="46"/>
  <c r="O164" i="46"/>
  <c r="O165" i="46"/>
  <c r="O166" i="46"/>
  <c r="O167" i="46"/>
  <c r="O168" i="46"/>
  <c r="O169" i="46"/>
  <c r="O170" i="46"/>
  <c r="O171" i="46"/>
  <c r="O172" i="46"/>
  <c r="O173" i="46"/>
  <c r="O174" i="46"/>
  <c r="O175" i="46"/>
  <c r="O176" i="46"/>
  <c r="O177" i="46"/>
  <c r="O178" i="46"/>
  <c r="O179" i="46"/>
  <c r="O180" i="46"/>
  <c r="O181" i="46"/>
  <c r="O182" i="46"/>
  <c r="O183" i="46"/>
  <c r="O184" i="46"/>
  <c r="O185" i="46"/>
  <c r="O186" i="46"/>
  <c r="O187" i="46"/>
  <c r="O188" i="46"/>
  <c r="O189" i="46"/>
  <c r="O190" i="46"/>
  <c r="O191" i="46"/>
  <c r="O192" i="46"/>
  <c r="O193" i="46"/>
  <c r="O194" i="46"/>
  <c r="O195" i="46"/>
  <c r="O196" i="46"/>
  <c r="O197" i="46"/>
  <c r="O198" i="46"/>
  <c r="O199" i="46"/>
  <c r="O200" i="46"/>
  <c r="O201" i="46"/>
  <c r="O202" i="46"/>
  <c r="O203" i="46"/>
  <c r="O204" i="46"/>
  <c r="O205" i="46"/>
  <c r="O206" i="46"/>
  <c r="O207" i="46"/>
  <c r="O208" i="46"/>
  <c r="O209" i="46"/>
  <c r="O210" i="46"/>
  <c r="O211" i="46"/>
  <c r="O212" i="46"/>
  <c r="O213" i="46"/>
  <c r="O214" i="46"/>
  <c r="O215" i="46"/>
  <c r="O216" i="46"/>
  <c r="O217" i="46"/>
  <c r="O218" i="46"/>
  <c r="O219" i="46"/>
  <c r="O220" i="46"/>
  <c r="O221" i="46"/>
  <c r="O222" i="46"/>
  <c r="O223" i="46"/>
  <c r="O224" i="46"/>
  <c r="O225" i="46"/>
  <c r="O226" i="46"/>
  <c r="O227" i="46"/>
  <c r="O228" i="46"/>
  <c r="O229" i="46"/>
  <c r="O230" i="46"/>
  <c r="O231" i="46"/>
  <c r="O232" i="46"/>
  <c r="O233" i="46"/>
  <c r="O234" i="46"/>
  <c r="O235" i="46"/>
  <c r="O236" i="46"/>
  <c r="O237" i="46"/>
  <c r="O238" i="46"/>
  <c r="O239" i="46"/>
  <c r="O240" i="46"/>
  <c r="O241" i="46"/>
  <c r="O242" i="46"/>
  <c r="O243" i="46"/>
  <c r="O244" i="46"/>
  <c r="O245" i="46"/>
  <c r="O246" i="46"/>
  <c r="O247" i="46"/>
  <c r="O248" i="46"/>
  <c r="O249" i="46"/>
  <c r="O250" i="46"/>
  <c r="O251" i="46"/>
  <c r="O252" i="46"/>
  <c r="O253" i="46"/>
  <c r="O254" i="46"/>
  <c r="O255" i="46"/>
  <c r="O256" i="46"/>
  <c r="O257" i="46"/>
  <c r="O258" i="46"/>
  <c r="O259" i="46"/>
  <c r="O260" i="46"/>
  <c r="O261" i="46"/>
  <c r="O262" i="46"/>
  <c r="O263" i="46"/>
  <c r="O264" i="46"/>
  <c r="O265" i="46"/>
  <c r="O266" i="46"/>
  <c r="O267" i="46"/>
  <c r="O268" i="46"/>
  <c r="O269" i="46"/>
  <c r="O270" i="46"/>
  <c r="O271" i="46"/>
  <c r="O272" i="46"/>
  <c r="O273" i="46"/>
  <c r="O274" i="46"/>
  <c r="O275" i="46"/>
  <c r="O276" i="46"/>
  <c r="O277" i="46"/>
  <c r="O278" i="46"/>
  <c r="O279" i="46"/>
  <c r="O280" i="46"/>
  <c r="O281" i="46"/>
  <c r="O282" i="46"/>
  <c r="O283" i="46"/>
  <c r="O284" i="46"/>
  <c r="O285" i="46"/>
  <c r="O286" i="46"/>
  <c r="O287" i="46"/>
  <c r="O288" i="46"/>
  <c r="O289" i="46"/>
  <c r="O290" i="46"/>
  <c r="O291" i="46"/>
  <c r="O292" i="46"/>
  <c r="O293" i="46"/>
  <c r="O294" i="46"/>
  <c r="O295" i="46"/>
  <c r="O296" i="46"/>
  <c r="O297" i="46"/>
  <c r="O298" i="46"/>
  <c r="O299" i="46"/>
  <c r="O300" i="46"/>
  <c r="O301" i="46"/>
  <c r="O302" i="46"/>
  <c r="O303" i="46"/>
  <c r="O304" i="46"/>
  <c r="O305" i="46"/>
  <c r="O306" i="46"/>
  <c r="O307" i="46"/>
  <c r="O308" i="46"/>
  <c r="O309" i="46"/>
  <c r="O310" i="46"/>
  <c r="O311" i="46"/>
  <c r="O312" i="46"/>
  <c r="O313" i="46"/>
  <c r="O314" i="46"/>
  <c r="O315" i="46"/>
  <c r="O316" i="46"/>
  <c r="O317" i="46"/>
  <c r="O318" i="46"/>
  <c r="O319" i="46"/>
  <c r="O320" i="46"/>
  <c r="O321" i="46"/>
  <c r="O322" i="46"/>
  <c r="O323" i="46"/>
  <c r="O324" i="46"/>
  <c r="O325" i="46"/>
  <c r="O326" i="46"/>
  <c r="O327" i="46"/>
  <c r="O328" i="46"/>
  <c r="O329" i="46"/>
  <c r="O330" i="46"/>
  <c r="O331" i="46"/>
  <c r="O332" i="46"/>
  <c r="O333" i="46"/>
  <c r="O334" i="46"/>
  <c r="O335" i="46"/>
  <c r="O336" i="46"/>
  <c r="O337" i="46"/>
  <c r="O338" i="46"/>
  <c r="O339" i="46"/>
  <c r="O340" i="46"/>
  <c r="O341" i="46"/>
  <c r="O342" i="46"/>
  <c r="O343" i="46"/>
  <c r="O344" i="46"/>
  <c r="O345" i="46"/>
  <c r="O346" i="46"/>
  <c r="O347" i="46"/>
  <c r="O348" i="46"/>
  <c r="O349" i="46"/>
  <c r="O350" i="46"/>
  <c r="O351" i="46"/>
  <c r="O352" i="46"/>
  <c r="O353" i="46"/>
  <c r="O354" i="46"/>
  <c r="O355" i="46"/>
  <c r="O356" i="46"/>
  <c r="O357" i="46"/>
  <c r="O358" i="46"/>
  <c r="O359" i="46"/>
  <c r="O360" i="46"/>
  <c r="O361" i="46"/>
  <c r="O362" i="46"/>
  <c r="O363" i="46"/>
  <c r="O364" i="46"/>
  <c r="O365" i="46"/>
  <c r="O366" i="46"/>
  <c r="O367" i="46"/>
  <c r="O368" i="46"/>
  <c r="O369" i="46"/>
  <c r="O370" i="46"/>
  <c r="O371" i="46"/>
  <c r="O372" i="46"/>
  <c r="O373" i="46"/>
  <c r="O374" i="46"/>
  <c r="O375" i="46"/>
  <c r="O376" i="46"/>
  <c r="O377" i="46"/>
  <c r="O378" i="46"/>
  <c r="O379" i="46"/>
  <c r="O380" i="46"/>
  <c r="O381" i="46"/>
  <c r="O382" i="46"/>
  <c r="O383" i="46"/>
  <c r="O384" i="46"/>
  <c r="O385" i="46"/>
  <c r="O386" i="46"/>
  <c r="O387" i="46"/>
  <c r="O388" i="46"/>
  <c r="O389" i="46"/>
  <c r="O390" i="46"/>
  <c r="O391" i="46"/>
  <c r="O392" i="46"/>
  <c r="O393" i="46"/>
  <c r="O394" i="46"/>
  <c r="O395" i="46"/>
  <c r="O396" i="46"/>
  <c r="O397" i="46"/>
  <c r="O398" i="46"/>
  <c r="O399" i="46"/>
  <c r="O400" i="46"/>
  <c r="O401" i="46"/>
  <c r="O402" i="46"/>
  <c r="O403" i="46"/>
  <c r="O404" i="46"/>
  <c r="O405" i="46"/>
  <c r="O406" i="46"/>
  <c r="O407" i="46"/>
  <c r="O408" i="46"/>
  <c r="O409" i="46"/>
  <c r="O410" i="46"/>
  <c r="O411" i="46"/>
  <c r="O412" i="46"/>
  <c r="O413" i="46"/>
  <c r="O414" i="46"/>
  <c r="O415" i="46"/>
  <c r="O416" i="46"/>
  <c r="O417" i="46"/>
  <c r="O418" i="46"/>
  <c r="O419" i="46"/>
  <c r="O420" i="46"/>
  <c r="O421" i="46"/>
  <c r="O422" i="46"/>
  <c r="O423" i="46"/>
  <c r="O424" i="46"/>
  <c r="O425" i="46"/>
  <c r="O426" i="46"/>
  <c r="O427" i="46"/>
  <c r="O428" i="46"/>
  <c r="O431" i="46"/>
  <c r="O432" i="46"/>
  <c r="O433" i="46"/>
  <c r="O434" i="46"/>
  <c r="O435" i="46"/>
  <c r="O436" i="46"/>
  <c r="O437" i="46"/>
  <c r="O438" i="46"/>
  <c r="O439" i="46"/>
  <c r="O440" i="46"/>
  <c r="O441" i="46"/>
  <c r="O442" i="46"/>
  <c r="AJ12" i="39" l="1"/>
  <c r="AJ14" i="39" s="1"/>
  <c r="AJ15" i="39"/>
  <c r="AJ16" i="39"/>
  <c r="AJ17" i="39"/>
  <c r="AJ18" i="39"/>
  <c r="AJ19" i="39"/>
  <c r="AJ20" i="39"/>
  <c r="AJ21" i="39"/>
  <c r="BC12" i="39" l="1"/>
  <c r="AZ12" i="39"/>
  <c r="BA12" i="39"/>
  <c r="BB12" i="39"/>
  <c r="AY12" i="39"/>
  <c r="BD12" i="39"/>
  <c r="W19" i="39" l="1"/>
  <c r="W21" i="39"/>
  <c r="W15" i="39"/>
  <c r="W22" i="39"/>
  <c r="M9" i="23"/>
  <c r="W18" i="39" s="1"/>
  <c r="M10" i="23"/>
  <c r="W20" i="39" s="1"/>
  <c r="M11" i="23"/>
  <c r="M12" i="23"/>
  <c r="W17" i="39" s="1"/>
  <c r="M8" i="23"/>
  <c r="W16" i="39" l="1"/>
  <c r="N16" i="39"/>
  <c r="Q16" i="39" s="1"/>
  <c r="N17" i="39"/>
  <c r="Q17" i="39" s="1"/>
  <c r="N18" i="39"/>
  <c r="Q18" i="39" s="1"/>
  <c r="N20" i="39"/>
  <c r="Q20" i="39" s="1"/>
  <c r="N21" i="39"/>
  <c r="N15" i="39"/>
  <c r="Q15" i="39" s="1"/>
  <c r="Q21" i="39" l="1"/>
  <c r="G10" i="50"/>
  <c r="G11" i="50"/>
  <c r="G12" i="50"/>
  <c r="G13" i="50"/>
  <c r="G9" i="50"/>
  <c r="B1" i="50"/>
  <c r="AQ21" i="39" l="1"/>
  <c r="P21" i="39" l="1"/>
  <c r="S21" i="39" s="1"/>
  <c r="R21" i="39" l="1"/>
  <c r="AB21" i="39" l="1"/>
  <c r="AA21" i="39"/>
  <c r="L38" i="23"/>
  <c r="J44" i="23"/>
  <c r="J45" i="23"/>
  <c r="J46" i="23"/>
  <c r="J47" i="23"/>
  <c r="J43" i="23"/>
  <c r="E44" i="23"/>
  <c r="J9" i="23" s="1"/>
  <c r="E45" i="23"/>
  <c r="J10" i="23" s="1"/>
  <c r="E46" i="23"/>
  <c r="E47" i="23"/>
  <c r="E43" i="23"/>
  <c r="J12" i="23" l="1"/>
  <c r="J8" i="23"/>
  <c r="J11" i="23"/>
  <c r="K19" i="39"/>
  <c r="AE16" i="39"/>
  <c r="AL16" i="39" s="1" a="1"/>
  <c r="AL16" i="39" s="1"/>
  <c r="AF16" i="39"/>
  <c r="AM16" i="39" s="1" a="1"/>
  <c r="AM16" i="39" s="1"/>
  <c r="AG16" i="39"/>
  <c r="AN16" i="39" s="1" a="1"/>
  <c r="AN16" i="39" s="1"/>
  <c r="AH16" i="39"/>
  <c r="AO16" i="39" s="1" a="1"/>
  <c r="AO16" i="39" s="1"/>
  <c r="AI16" i="39"/>
  <c r="AP16" i="39" s="1" a="1"/>
  <c r="AP16" i="39" s="1"/>
  <c r="AE17" i="39"/>
  <c r="AL17" i="39" s="1" a="1"/>
  <c r="AL17" i="39" s="1"/>
  <c r="AF17" i="39"/>
  <c r="AM17" i="39" s="1" a="1"/>
  <c r="AM17" i="39" s="1"/>
  <c r="AG17" i="39"/>
  <c r="AN17" i="39" s="1" a="1"/>
  <c r="AN17" i="39" s="1"/>
  <c r="AH17" i="39"/>
  <c r="AO17" i="39" s="1" a="1"/>
  <c r="AO17" i="39" s="1"/>
  <c r="AI17" i="39"/>
  <c r="AP17" i="39" s="1" a="1"/>
  <c r="AP17" i="39" s="1"/>
  <c r="AE18" i="39"/>
  <c r="AL18" i="39" s="1" a="1"/>
  <c r="AL18" i="39" s="1"/>
  <c r="AF18" i="39"/>
  <c r="AM18" i="39" s="1" a="1"/>
  <c r="AM18" i="39" s="1"/>
  <c r="AG18" i="39"/>
  <c r="AN18" i="39" s="1" a="1"/>
  <c r="AN18" i="39" s="1"/>
  <c r="AH18" i="39"/>
  <c r="AO18" i="39" s="1" a="1"/>
  <c r="AO18" i="39" s="1"/>
  <c r="AI18" i="39"/>
  <c r="AP18" i="39" s="1" a="1"/>
  <c r="AP18" i="39" s="1"/>
  <c r="AE19" i="39"/>
  <c r="AL19" i="39" s="1" a="1"/>
  <c r="AL19" i="39" s="1"/>
  <c r="AY19" i="39" s="1"/>
  <c r="AF19" i="39"/>
  <c r="AM19" i="39" s="1" a="1"/>
  <c r="AM19" i="39" s="1"/>
  <c r="AZ19" i="39" s="1"/>
  <c r="AG19" i="39"/>
  <c r="AN19" i="39" s="1" a="1"/>
  <c r="AN19" i="39" s="1"/>
  <c r="BA19" i="39" s="1"/>
  <c r="AH19" i="39"/>
  <c r="AO19" i="39" s="1" a="1"/>
  <c r="AO19" i="39" s="1"/>
  <c r="AI19" i="39"/>
  <c r="AP19" i="39" s="1" a="1"/>
  <c r="AP19" i="39" s="1"/>
  <c r="BC19" i="39" s="1"/>
  <c r="AE20" i="39"/>
  <c r="AL20" i="39" s="1" a="1"/>
  <c r="AL20" i="39" s="1"/>
  <c r="AY20" i="39" s="1"/>
  <c r="AF20" i="39"/>
  <c r="AM20" i="39" s="1" a="1"/>
  <c r="AM20" i="39" s="1"/>
  <c r="AZ20" i="39" s="1"/>
  <c r="AG20" i="39"/>
  <c r="AN20" i="39" s="1" a="1"/>
  <c r="AN20" i="39" s="1"/>
  <c r="AH20" i="39"/>
  <c r="AO20" i="39" s="1" a="1"/>
  <c r="AO20" i="39" s="1"/>
  <c r="BB20" i="39" s="1"/>
  <c r="AI20" i="39"/>
  <c r="AP20" i="39" s="1" a="1"/>
  <c r="AP20" i="39" s="1"/>
  <c r="BC20" i="39" s="1"/>
  <c r="AF15" i="39"/>
  <c r="AM15" i="39" s="1" a="1"/>
  <c r="AM15" i="39" s="1"/>
  <c r="AG15" i="39"/>
  <c r="AN15" i="39" s="1" a="1"/>
  <c r="AN15" i="39" s="1"/>
  <c r="AH15" i="39"/>
  <c r="AO15" i="39" s="1" a="1"/>
  <c r="AO15" i="39" s="1"/>
  <c r="AI15" i="39"/>
  <c r="AP15" i="39" s="1" a="1"/>
  <c r="AP15" i="39" s="1"/>
  <c r="AE15" i="39"/>
  <c r="AL15" i="39" s="1" a="1"/>
  <c r="AL15" i="39" s="1"/>
  <c r="R14" i="46"/>
  <c r="X14" i="46" s="1" a="1"/>
  <c r="X14" i="46" s="1"/>
  <c r="S14" i="46"/>
  <c r="Y14" i="46" s="1" a="1"/>
  <c r="Y14" i="46" s="1"/>
  <c r="T14" i="46"/>
  <c r="Z14" i="46" s="1" a="1"/>
  <c r="Z14" i="46" s="1"/>
  <c r="U14" i="46"/>
  <c r="AA14" i="46" s="1" a="1"/>
  <c r="AA14" i="46" s="1"/>
  <c r="R15" i="46"/>
  <c r="X15" i="46" s="1" a="1"/>
  <c r="X15" i="46" s="1"/>
  <c r="S15" i="46"/>
  <c r="T15" i="46"/>
  <c r="Z15" i="46" s="1" a="1"/>
  <c r="Z15" i="46" s="1"/>
  <c r="U15" i="46"/>
  <c r="R16" i="46"/>
  <c r="X16" i="46" s="1" a="1"/>
  <c r="X16" i="46" s="1"/>
  <c r="S16" i="46"/>
  <c r="T16" i="46"/>
  <c r="Z16" i="46" s="1" a="1"/>
  <c r="Z16" i="46" s="1"/>
  <c r="U16" i="46"/>
  <c r="AA16" i="46" s="1" a="1"/>
  <c r="AA16" i="46" s="1"/>
  <c r="R17" i="46"/>
  <c r="X17" i="46" s="1" a="1"/>
  <c r="X17" i="46" s="1"/>
  <c r="S17" i="46"/>
  <c r="Y17" i="46" s="1" a="1"/>
  <c r="Y17" i="46" s="1"/>
  <c r="T17" i="46"/>
  <c r="Z17" i="46" s="1" a="1"/>
  <c r="Z17" i="46" s="1"/>
  <c r="U17" i="46"/>
  <c r="AA17" i="46" s="1" a="1"/>
  <c r="AA17" i="46" s="1"/>
  <c r="R18" i="46"/>
  <c r="X18" i="46" s="1" a="1"/>
  <c r="X18" i="46" s="1"/>
  <c r="S18" i="46"/>
  <c r="T18" i="46"/>
  <c r="Z18" i="46" s="1" a="1"/>
  <c r="Z18" i="46" s="1"/>
  <c r="U18" i="46"/>
  <c r="AA18" i="46" s="1" a="1"/>
  <c r="AA18" i="46" s="1"/>
  <c r="R19" i="46"/>
  <c r="X19" i="46" s="1" a="1"/>
  <c r="X19" i="46" s="1"/>
  <c r="S19" i="46"/>
  <c r="Y19" i="46" s="1" a="1"/>
  <c r="Y19" i="46" s="1"/>
  <c r="T19" i="46"/>
  <c r="Z19" i="46" s="1" a="1"/>
  <c r="Z19" i="46" s="1"/>
  <c r="U19" i="46"/>
  <c r="AA19" i="46" s="1" a="1"/>
  <c r="AA19" i="46" s="1"/>
  <c r="Q15" i="46"/>
  <c r="W15" i="46" s="1" a="1"/>
  <c r="W15" i="46" s="1"/>
  <c r="Q16" i="46"/>
  <c r="W16" i="46" s="1" a="1"/>
  <c r="W16" i="46" s="1"/>
  <c r="Q17" i="46"/>
  <c r="W17" i="46" s="1" a="1"/>
  <c r="W17" i="46" s="1"/>
  <c r="Q18" i="46"/>
  <c r="W18" i="46" s="1" a="1"/>
  <c r="W18" i="46" s="1"/>
  <c r="Q19" i="46"/>
  <c r="W19" i="46" s="1" a="1"/>
  <c r="W19" i="46" s="1"/>
  <c r="AA15" i="46" a="1"/>
  <c r="AA15" i="46" s="1"/>
  <c r="Y15" i="46" a="1"/>
  <c r="Y15" i="46" s="1"/>
  <c r="Y16" i="46" a="1"/>
  <c r="Y16" i="46" s="1"/>
  <c r="Y18" i="46" a="1"/>
  <c r="Y18" i="46" s="1"/>
  <c r="Q20" i="46"/>
  <c r="W20" i="46" s="1" a="1"/>
  <c r="W20" i="46" s="1"/>
  <c r="R20" i="46"/>
  <c r="X20" i="46" s="1" a="1"/>
  <c r="X20" i="46" s="1"/>
  <c r="S20" i="46"/>
  <c r="Y20" i="46" s="1" a="1"/>
  <c r="Y20" i="46" s="1"/>
  <c r="T20" i="46"/>
  <c r="Z20" i="46" s="1" a="1"/>
  <c r="Z20" i="46" s="1"/>
  <c r="U20" i="46"/>
  <c r="AA20" i="46" s="1" a="1"/>
  <c r="AA20" i="46" s="1"/>
  <c r="Q21" i="46"/>
  <c r="W21" i="46" s="1" a="1"/>
  <c r="W21" i="46" s="1"/>
  <c r="R21" i="46"/>
  <c r="X21" i="46" s="1" a="1"/>
  <c r="X21" i="46" s="1"/>
  <c r="S21" i="46"/>
  <c r="Y21" i="46" s="1" a="1"/>
  <c r="Y21" i="46" s="1"/>
  <c r="T21" i="46"/>
  <c r="Z21" i="46" s="1" a="1"/>
  <c r="Z21" i="46" s="1"/>
  <c r="U21" i="46"/>
  <c r="AA21" i="46" s="1" a="1"/>
  <c r="AA21" i="46" s="1"/>
  <c r="Q22" i="46"/>
  <c r="W22" i="46" s="1" a="1"/>
  <c r="W22" i="46" s="1"/>
  <c r="R22" i="46"/>
  <c r="X22" i="46" s="1" a="1"/>
  <c r="X22" i="46" s="1"/>
  <c r="S22" i="46"/>
  <c r="Y22" i="46" s="1" a="1"/>
  <c r="Y22" i="46" s="1"/>
  <c r="T22" i="46"/>
  <c r="Z22" i="46" s="1" a="1"/>
  <c r="Z22" i="46" s="1"/>
  <c r="U22" i="46"/>
  <c r="AA22" i="46" s="1" a="1"/>
  <c r="AA22" i="46" s="1"/>
  <c r="Q23" i="46"/>
  <c r="W23" i="46" s="1" a="1"/>
  <c r="W23" i="46" s="1"/>
  <c r="R23" i="46"/>
  <c r="X23" i="46" s="1" a="1"/>
  <c r="X23" i="46" s="1"/>
  <c r="S23" i="46"/>
  <c r="Y23" i="46" s="1" a="1"/>
  <c r="Y23" i="46" s="1"/>
  <c r="T23" i="46"/>
  <c r="Z23" i="46" s="1" a="1"/>
  <c r="Z23" i="46" s="1"/>
  <c r="U23" i="46"/>
  <c r="AA23" i="46" s="1" a="1"/>
  <c r="AA23" i="46" s="1"/>
  <c r="Q24" i="46"/>
  <c r="W24" i="46" s="1" a="1"/>
  <c r="W24" i="46" s="1"/>
  <c r="R24" i="46"/>
  <c r="X24" i="46" s="1" a="1"/>
  <c r="X24" i="46" s="1"/>
  <c r="S24" i="46"/>
  <c r="Y24" i="46" s="1" a="1"/>
  <c r="Y24" i="46" s="1"/>
  <c r="T24" i="46"/>
  <c r="Z24" i="46" s="1" a="1"/>
  <c r="Z24" i="46" s="1"/>
  <c r="U24" i="46"/>
  <c r="AA24" i="46" s="1" a="1"/>
  <c r="AA24" i="46" s="1"/>
  <c r="Q25" i="46"/>
  <c r="W25" i="46" s="1" a="1"/>
  <c r="W25" i="46" s="1"/>
  <c r="R25" i="46"/>
  <c r="X25" i="46" s="1" a="1"/>
  <c r="X25" i="46" s="1"/>
  <c r="S25" i="46"/>
  <c r="Y25" i="46" s="1" a="1"/>
  <c r="Y25" i="46" s="1"/>
  <c r="T25" i="46"/>
  <c r="Z25" i="46" s="1" a="1"/>
  <c r="Z25" i="46" s="1"/>
  <c r="U25" i="46"/>
  <c r="AA25" i="46" s="1" a="1"/>
  <c r="AA25" i="46" s="1"/>
  <c r="Q26" i="46"/>
  <c r="W26" i="46" s="1" a="1"/>
  <c r="W26" i="46" s="1"/>
  <c r="R26" i="46"/>
  <c r="X26" i="46" s="1" a="1"/>
  <c r="X26" i="46" s="1"/>
  <c r="S26" i="46"/>
  <c r="Y26" i="46" s="1" a="1"/>
  <c r="Y26" i="46" s="1"/>
  <c r="T26" i="46"/>
  <c r="Z26" i="46" s="1" a="1"/>
  <c r="Z26" i="46" s="1"/>
  <c r="U26" i="46"/>
  <c r="AA26" i="46" s="1" a="1"/>
  <c r="AA26" i="46" s="1"/>
  <c r="Q27" i="46"/>
  <c r="W27" i="46" s="1" a="1"/>
  <c r="W27" i="46" s="1"/>
  <c r="R27" i="46"/>
  <c r="X27" i="46" s="1" a="1"/>
  <c r="X27" i="46" s="1"/>
  <c r="S27" i="46"/>
  <c r="Y27" i="46" s="1" a="1"/>
  <c r="Y27" i="46" s="1"/>
  <c r="T27" i="46"/>
  <c r="Z27" i="46" s="1" a="1"/>
  <c r="Z27" i="46" s="1"/>
  <c r="U27" i="46"/>
  <c r="AA27" i="46" s="1" a="1"/>
  <c r="AA27" i="46" s="1"/>
  <c r="Q28" i="46"/>
  <c r="W28" i="46" s="1" a="1"/>
  <c r="W28" i="46" s="1"/>
  <c r="R28" i="46"/>
  <c r="X28" i="46" s="1" a="1"/>
  <c r="X28" i="46" s="1"/>
  <c r="S28" i="46"/>
  <c r="Y28" i="46" s="1" a="1"/>
  <c r="Y28" i="46" s="1"/>
  <c r="T28" i="46"/>
  <c r="Z28" i="46" s="1" a="1"/>
  <c r="Z28" i="46" s="1"/>
  <c r="U28" i="46"/>
  <c r="AA28" i="46" s="1" a="1"/>
  <c r="AA28" i="46" s="1"/>
  <c r="Q29" i="46"/>
  <c r="W29" i="46" s="1" a="1"/>
  <c r="W29" i="46" s="1"/>
  <c r="R29" i="46"/>
  <c r="X29" i="46" s="1" a="1"/>
  <c r="X29" i="46" s="1"/>
  <c r="S29" i="46"/>
  <c r="Y29" i="46" s="1" a="1"/>
  <c r="Y29" i="46" s="1"/>
  <c r="T29" i="46"/>
  <c r="Z29" i="46" s="1" a="1"/>
  <c r="Z29" i="46" s="1"/>
  <c r="U29" i="46"/>
  <c r="AA29" i="46" s="1" a="1"/>
  <c r="AA29" i="46" s="1"/>
  <c r="Q30" i="46"/>
  <c r="W30" i="46" s="1" a="1"/>
  <c r="W30" i="46" s="1"/>
  <c r="R30" i="46"/>
  <c r="X30" i="46" s="1" a="1"/>
  <c r="X30" i="46" s="1"/>
  <c r="S30" i="46"/>
  <c r="Y30" i="46" s="1" a="1"/>
  <c r="Y30" i="46" s="1"/>
  <c r="T30" i="46"/>
  <c r="Z30" i="46" s="1" a="1"/>
  <c r="Z30" i="46" s="1"/>
  <c r="U30" i="46"/>
  <c r="AA30" i="46" s="1" a="1"/>
  <c r="AA30" i="46" s="1"/>
  <c r="Q31" i="46"/>
  <c r="W31" i="46" s="1" a="1"/>
  <c r="W31" i="46" s="1"/>
  <c r="R31" i="46"/>
  <c r="X31" i="46" s="1" a="1"/>
  <c r="X31" i="46" s="1"/>
  <c r="S31" i="46"/>
  <c r="Y31" i="46" s="1" a="1"/>
  <c r="Y31" i="46" s="1"/>
  <c r="T31" i="46"/>
  <c r="Z31" i="46" s="1" a="1"/>
  <c r="Z31" i="46" s="1"/>
  <c r="U31" i="46"/>
  <c r="AA31" i="46" s="1" a="1"/>
  <c r="AA31" i="46" s="1"/>
  <c r="Q32" i="46"/>
  <c r="W32" i="46" s="1" a="1"/>
  <c r="W32" i="46" s="1"/>
  <c r="R32" i="46"/>
  <c r="X32" i="46" s="1" a="1"/>
  <c r="X32" i="46" s="1"/>
  <c r="S32" i="46"/>
  <c r="Y32" i="46" s="1" a="1"/>
  <c r="Y32" i="46" s="1"/>
  <c r="T32" i="46"/>
  <c r="Z32" i="46" s="1" a="1"/>
  <c r="Z32" i="46" s="1"/>
  <c r="U32" i="46"/>
  <c r="AA32" i="46" s="1" a="1"/>
  <c r="AA32" i="46" s="1"/>
  <c r="Q33" i="46"/>
  <c r="W33" i="46" s="1" a="1"/>
  <c r="W33" i="46" s="1"/>
  <c r="R33" i="46"/>
  <c r="X33" i="46" s="1" a="1"/>
  <c r="X33" i="46" s="1"/>
  <c r="S33" i="46"/>
  <c r="Y33" i="46" s="1" a="1"/>
  <c r="Y33" i="46" s="1"/>
  <c r="T33" i="46"/>
  <c r="Z33" i="46" s="1" a="1"/>
  <c r="Z33" i="46" s="1"/>
  <c r="U33" i="46"/>
  <c r="AA33" i="46" s="1" a="1"/>
  <c r="AA33" i="46" s="1"/>
  <c r="Q34" i="46"/>
  <c r="W34" i="46" s="1" a="1"/>
  <c r="W34" i="46" s="1"/>
  <c r="R34" i="46"/>
  <c r="X34" i="46" s="1" a="1"/>
  <c r="X34" i="46" s="1"/>
  <c r="S34" i="46"/>
  <c r="Y34" i="46" s="1" a="1"/>
  <c r="Y34" i="46" s="1"/>
  <c r="T34" i="46"/>
  <c r="Z34" i="46" s="1" a="1"/>
  <c r="Z34" i="46" s="1"/>
  <c r="U34" i="46"/>
  <c r="AA34" i="46" s="1" a="1"/>
  <c r="AA34" i="46" s="1"/>
  <c r="Q35" i="46"/>
  <c r="W35" i="46" s="1" a="1"/>
  <c r="W35" i="46" s="1"/>
  <c r="R35" i="46"/>
  <c r="X35" i="46" s="1" a="1"/>
  <c r="X35" i="46" s="1"/>
  <c r="S35" i="46"/>
  <c r="Y35" i="46" s="1" a="1"/>
  <c r="Y35" i="46" s="1"/>
  <c r="T35" i="46"/>
  <c r="Z35" i="46" s="1" a="1"/>
  <c r="Z35" i="46" s="1"/>
  <c r="U35" i="46"/>
  <c r="AA35" i="46" s="1" a="1"/>
  <c r="AA35" i="46" s="1"/>
  <c r="Q36" i="46"/>
  <c r="W36" i="46" s="1" a="1"/>
  <c r="W36" i="46" s="1"/>
  <c r="R36" i="46"/>
  <c r="X36" i="46" s="1" a="1"/>
  <c r="X36" i="46" s="1"/>
  <c r="S36" i="46"/>
  <c r="Y36" i="46" s="1" a="1"/>
  <c r="Y36" i="46" s="1"/>
  <c r="T36" i="46"/>
  <c r="Z36" i="46" s="1" a="1"/>
  <c r="Z36" i="46" s="1"/>
  <c r="U36" i="46"/>
  <c r="AA36" i="46" s="1" a="1"/>
  <c r="AA36" i="46" s="1"/>
  <c r="Q37" i="46"/>
  <c r="W37" i="46" s="1" a="1"/>
  <c r="W37" i="46" s="1"/>
  <c r="R37" i="46"/>
  <c r="X37" i="46" s="1" a="1"/>
  <c r="X37" i="46" s="1"/>
  <c r="S37" i="46"/>
  <c r="Y37" i="46" s="1" a="1"/>
  <c r="Y37" i="46" s="1"/>
  <c r="T37" i="46"/>
  <c r="Z37" i="46" s="1" a="1"/>
  <c r="Z37" i="46" s="1"/>
  <c r="U37" i="46"/>
  <c r="AA37" i="46" s="1" a="1"/>
  <c r="AA37" i="46" s="1"/>
  <c r="Q38" i="46"/>
  <c r="W38" i="46" s="1" a="1"/>
  <c r="W38" i="46" s="1"/>
  <c r="R38" i="46"/>
  <c r="X38" i="46" s="1" a="1"/>
  <c r="X38" i="46" s="1"/>
  <c r="S38" i="46"/>
  <c r="Y38" i="46" s="1" a="1"/>
  <c r="Y38" i="46" s="1"/>
  <c r="T38" i="46"/>
  <c r="Z38" i="46" s="1" a="1"/>
  <c r="Z38" i="46" s="1"/>
  <c r="U38" i="46"/>
  <c r="AA38" i="46" s="1" a="1"/>
  <c r="AA38" i="46" s="1"/>
  <c r="Q39" i="46"/>
  <c r="W39" i="46" s="1" a="1"/>
  <c r="W39" i="46" s="1"/>
  <c r="R39" i="46"/>
  <c r="X39" i="46" s="1" a="1"/>
  <c r="X39" i="46" s="1"/>
  <c r="S39" i="46"/>
  <c r="Y39" i="46" s="1" a="1"/>
  <c r="Y39" i="46" s="1"/>
  <c r="T39" i="46"/>
  <c r="Z39" i="46" s="1" a="1"/>
  <c r="Z39" i="46" s="1"/>
  <c r="U39" i="46"/>
  <c r="AA39" i="46" s="1" a="1"/>
  <c r="AA39" i="46" s="1"/>
  <c r="Q40" i="46"/>
  <c r="W40" i="46" s="1" a="1"/>
  <c r="W40" i="46" s="1"/>
  <c r="R40" i="46"/>
  <c r="X40" i="46" s="1" a="1"/>
  <c r="X40" i="46" s="1"/>
  <c r="S40" i="46"/>
  <c r="Y40" i="46" s="1" a="1"/>
  <c r="Y40" i="46" s="1"/>
  <c r="T40" i="46"/>
  <c r="Z40" i="46" s="1" a="1"/>
  <c r="Z40" i="46" s="1"/>
  <c r="U40" i="46"/>
  <c r="AA40" i="46" s="1" a="1"/>
  <c r="AA40" i="46" s="1"/>
  <c r="Q41" i="46"/>
  <c r="W41" i="46" s="1" a="1"/>
  <c r="W41" i="46" s="1"/>
  <c r="R41" i="46"/>
  <c r="X41" i="46" s="1" a="1"/>
  <c r="X41" i="46" s="1"/>
  <c r="S41" i="46"/>
  <c r="Y41" i="46" s="1" a="1"/>
  <c r="Y41" i="46" s="1"/>
  <c r="T41" i="46"/>
  <c r="Z41" i="46" s="1" a="1"/>
  <c r="Z41" i="46" s="1"/>
  <c r="U41" i="46"/>
  <c r="AA41" i="46" s="1" a="1"/>
  <c r="AA41" i="46" s="1"/>
  <c r="Q42" i="46"/>
  <c r="W42" i="46" s="1" a="1"/>
  <c r="W42" i="46" s="1"/>
  <c r="R42" i="46"/>
  <c r="X42" i="46" s="1" a="1"/>
  <c r="X42" i="46" s="1"/>
  <c r="S42" i="46"/>
  <c r="Y42" i="46" s="1" a="1"/>
  <c r="Y42" i="46" s="1"/>
  <c r="T42" i="46"/>
  <c r="Z42" i="46" s="1" a="1"/>
  <c r="Z42" i="46" s="1"/>
  <c r="U42" i="46"/>
  <c r="AA42" i="46" s="1" a="1"/>
  <c r="AA42" i="46" s="1"/>
  <c r="Q43" i="46"/>
  <c r="W43" i="46" s="1" a="1"/>
  <c r="W43" i="46" s="1"/>
  <c r="R43" i="46"/>
  <c r="X43" i="46" s="1" a="1"/>
  <c r="X43" i="46" s="1"/>
  <c r="S43" i="46"/>
  <c r="Y43" i="46" s="1" a="1"/>
  <c r="Y43" i="46" s="1"/>
  <c r="T43" i="46"/>
  <c r="Z43" i="46" s="1" a="1"/>
  <c r="Z43" i="46" s="1"/>
  <c r="U43" i="46"/>
  <c r="AA43" i="46" s="1" a="1"/>
  <c r="AA43" i="46" s="1"/>
  <c r="Q44" i="46"/>
  <c r="W44" i="46" s="1" a="1"/>
  <c r="W44" i="46" s="1"/>
  <c r="R44" i="46"/>
  <c r="X44" i="46" s="1" a="1"/>
  <c r="X44" i="46" s="1"/>
  <c r="S44" i="46"/>
  <c r="Y44" i="46" s="1" a="1"/>
  <c r="Y44" i="46" s="1"/>
  <c r="T44" i="46"/>
  <c r="Z44" i="46" s="1" a="1"/>
  <c r="Z44" i="46" s="1"/>
  <c r="U44" i="46"/>
  <c r="AA44" i="46" s="1" a="1"/>
  <c r="AA44" i="46" s="1"/>
  <c r="Q45" i="46"/>
  <c r="W45" i="46" s="1" a="1"/>
  <c r="W45" i="46" s="1"/>
  <c r="R45" i="46"/>
  <c r="X45" i="46" s="1" a="1"/>
  <c r="X45" i="46" s="1"/>
  <c r="S45" i="46"/>
  <c r="Y45" i="46" s="1" a="1"/>
  <c r="Y45" i="46" s="1"/>
  <c r="T45" i="46"/>
  <c r="Z45" i="46" s="1" a="1"/>
  <c r="Z45" i="46" s="1"/>
  <c r="U45" i="46"/>
  <c r="AA45" i="46" s="1" a="1"/>
  <c r="AA45" i="46" s="1"/>
  <c r="Q46" i="46"/>
  <c r="W46" i="46" s="1" a="1"/>
  <c r="W46" i="46" s="1"/>
  <c r="R46" i="46"/>
  <c r="X46" i="46" s="1" a="1"/>
  <c r="X46" i="46" s="1"/>
  <c r="S46" i="46"/>
  <c r="Y46" i="46" s="1" a="1"/>
  <c r="Y46" i="46" s="1"/>
  <c r="T46" i="46"/>
  <c r="Z46" i="46" s="1" a="1"/>
  <c r="Z46" i="46" s="1"/>
  <c r="U46" i="46"/>
  <c r="AA46" i="46" s="1" a="1"/>
  <c r="AA46" i="46" s="1"/>
  <c r="Q47" i="46"/>
  <c r="W47" i="46" s="1" a="1"/>
  <c r="W47" i="46" s="1"/>
  <c r="R47" i="46"/>
  <c r="X47" i="46" s="1" a="1"/>
  <c r="X47" i="46" s="1"/>
  <c r="S47" i="46"/>
  <c r="Y47" i="46" s="1" a="1"/>
  <c r="Y47" i="46" s="1"/>
  <c r="T47" i="46"/>
  <c r="Z47" i="46" s="1" a="1"/>
  <c r="Z47" i="46" s="1"/>
  <c r="U47" i="46"/>
  <c r="AA47" i="46" s="1" a="1"/>
  <c r="AA47" i="46" s="1"/>
  <c r="Q48" i="46"/>
  <c r="W48" i="46" s="1" a="1"/>
  <c r="W48" i="46" s="1"/>
  <c r="R48" i="46"/>
  <c r="X48" i="46" s="1" a="1"/>
  <c r="X48" i="46" s="1"/>
  <c r="S48" i="46"/>
  <c r="Y48" i="46" s="1" a="1"/>
  <c r="Y48" i="46" s="1"/>
  <c r="T48" i="46"/>
  <c r="Z48" i="46" s="1" a="1"/>
  <c r="Z48" i="46" s="1"/>
  <c r="U48" i="46"/>
  <c r="AA48" i="46" s="1" a="1"/>
  <c r="AA48" i="46" s="1"/>
  <c r="Q49" i="46"/>
  <c r="W49" i="46" s="1" a="1"/>
  <c r="W49" i="46" s="1"/>
  <c r="R49" i="46"/>
  <c r="X49" i="46" s="1" a="1"/>
  <c r="X49" i="46" s="1"/>
  <c r="S49" i="46"/>
  <c r="Y49" i="46" s="1" a="1"/>
  <c r="Y49" i="46" s="1"/>
  <c r="T49" i="46"/>
  <c r="Z49" i="46" s="1" a="1"/>
  <c r="Z49" i="46" s="1"/>
  <c r="U49" i="46"/>
  <c r="AA49" i="46" s="1" a="1"/>
  <c r="AA49" i="46" s="1"/>
  <c r="Q50" i="46"/>
  <c r="W50" i="46" s="1" a="1"/>
  <c r="W50" i="46" s="1"/>
  <c r="R50" i="46"/>
  <c r="X50" i="46" s="1" a="1"/>
  <c r="X50" i="46" s="1"/>
  <c r="S50" i="46"/>
  <c r="Y50" i="46" s="1" a="1"/>
  <c r="Y50" i="46" s="1"/>
  <c r="T50" i="46"/>
  <c r="Z50" i="46" s="1" a="1"/>
  <c r="Z50" i="46" s="1"/>
  <c r="U50" i="46"/>
  <c r="AA50" i="46" s="1" a="1"/>
  <c r="AA50" i="46" s="1"/>
  <c r="Q51" i="46"/>
  <c r="W51" i="46" s="1" a="1"/>
  <c r="W51" i="46" s="1"/>
  <c r="R51" i="46"/>
  <c r="X51" i="46" s="1" a="1"/>
  <c r="X51" i="46" s="1"/>
  <c r="S51" i="46"/>
  <c r="Y51" i="46" s="1" a="1"/>
  <c r="Y51" i="46" s="1"/>
  <c r="T51" i="46"/>
  <c r="Z51" i="46" s="1" a="1"/>
  <c r="Z51" i="46" s="1"/>
  <c r="U51" i="46"/>
  <c r="AA51" i="46" s="1" a="1"/>
  <c r="AA51" i="46" s="1"/>
  <c r="Q52" i="46"/>
  <c r="W52" i="46" s="1" a="1"/>
  <c r="W52" i="46" s="1"/>
  <c r="R52" i="46"/>
  <c r="X52" i="46" s="1" a="1"/>
  <c r="X52" i="46" s="1"/>
  <c r="S52" i="46"/>
  <c r="Y52" i="46" s="1" a="1"/>
  <c r="Y52" i="46" s="1"/>
  <c r="T52" i="46"/>
  <c r="Z52" i="46" s="1" a="1"/>
  <c r="Z52" i="46" s="1"/>
  <c r="U52" i="46"/>
  <c r="AA52" i="46" s="1" a="1"/>
  <c r="AA52" i="46" s="1"/>
  <c r="Q53" i="46"/>
  <c r="W53" i="46" s="1" a="1"/>
  <c r="W53" i="46" s="1"/>
  <c r="R53" i="46"/>
  <c r="X53" i="46" s="1" a="1"/>
  <c r="X53" i="46" s="1"/>
  <c r="S53" i="46"/>
  <c r="Y53" i="46" s="1" a="1"/>
  <c r="Y53" i="46" s="1"/>
  <c r="T53" i="46"/>
  <c r="Z53" i="46" s="1" a="1"/>
  <c r="Z53" i="46" s="1"/>
  <c r="U53" i="46"/>
  <c r="AA53" i="46" s="1" a="1"/>
  <c r="AA53" i="46" s="1"/>
  <c r="Q54" i="46"/>
  <c r="W54" i="46" s="1" a="1"/>
  <c r="W54" i="46" s="1"/>
  <c r="R54" i="46"/>
  <c r="X54" i="46" s="1" a="1"/>
  <c r="X54" i="46" s="1"/>
  <c r="S54" i="46"/>
  <c r="Y54" i="46" s="1" a="1"/>
  <c r="Y54" i="46" s="1"/>
  <c r="T54" i="46"/>
  <c r="Z54" i="46" s="1" a="1"/>
  <c r="Z54" i="46" s="1"/>
  <c r="U54" i="46"/>
  <c r="AA54" i="46" s="1" a="1"/>
  <c r="AA54" i="46" s="1"/>
  <c r="Q55" i="46"/>
  <c r="W55" i="46" s="1" a="1"/>
  <c r="W55" i="46" s="1"/>
  <c r="R55" i="46"/>
  <c r="X55" i="46" s="1" a="1"/>
  <c r="X55" i="46" s="1"/>
  <c r="S55" i="46"/>
  <c r="Y55" i="46" s="1" a="1"/>
  <c r="Y55" i="46" s="1"/>
  <c r="T55" i="46"/>
  <c r="Z55" i="46" s="1" a="1"/>
  <c r="Z55" i="46" s="1"/>
  <c r="U55" i="46"/>
  <c r="AA55" i="46" s="1" a="1"/>
  <c r="AA55" i="46" s="1"/>
  <c r="Q56" i="46"/>
  <c r="W56" i="46" s="1" a="1"/>
  <c r="W56" i="46" s="1"/>
  <c r="R56" i="46"/>
  <c r="X56" i="46" s="1" a="1"/>
  <c r="X56" i="46" s="1"/>
  <c r="S56" i="46"/>
  <c r="Y56" i="46" s="1" a="1"/>
  <c r="Y56" i="46" s="1"/>
  <c r="T56" i="46"/>
  <c r="Z56" i="46" s="1" a="1"/>
  <c r="Z56" i="46" s="1"/>
  <c r="U56" i="46"/>
  <c r="AA56" i="46" s="1" a="1"/>
  <c r="AA56" i="46" s="1"/>
  <c r="Q57" i="46"/>
  <c r="W57" i="46" s="1" a="1"/>
  <c r="W57" i="46" s="1"/>
  <c r="R57" i="46"/>
  <c r="X57" i="46" s="1" a="1"/>
  <c r="X57" i="46" s="1"/>
  <c r="S57" i="46"/>
  <c r="Y57" i="46" s="1" a="1"/>
  <c r="Y57" i="46" s="1"/>
  <c r="T57" i="46"/>
  <c r="Z57" i="46" s="1" a="1"/>
  <c r="Z57" i="46" s="1"/>
  <c r="U57" i="46"/>
  <c r="AA57" i="46" s="1" a="1"/>
  <c r="AA57" i="46" s="1"/>
  <c r="Q58" i="46"/>
  <c r="W58" i="46" s="1" a="1"/>
  <c r="W58" i="46" s="1"/>
  <c r="R58" i="46"/>
  <c r="X58" i="46" s="1" a="1"/>
  <c r="X58" i="46" s="1"/>
  <c r="S58" i="46"/>
  <c r="Y58" i="46" s="1" a="1"/>
  <c r="Y58" i="46" s="1"/>
  <c r="T58" i="46"/>
  <c r="Z58" i="46" s="1" a="1"/>
  <c r="Z58" i="46" s="1"/>
  <c r="U58" i="46"/>
  <c r="AA58" i="46" s="1" a="1"/>
  <c r="AA58" i="46" s="1"/>
  <c r="Q59" i="46"/>
  <c r="W59" i="46" s="1" a="1"/>
  <c r="W59" i="46" s="1"/>
  <c r="R59" i="46"/>
  <c r="X59" i="46" s="1" a="1"/>
  <c r="X59" i="46" s="1"/>
  <c r="S59" i="46"/>
  <c r="Y59" i="46" s="1" a="1"/>
  <c r="Y59" i="46" s="1"/>
  <c r="T59" i="46"/>
  <c r="Z59" i="46" s="1" a="1"/>
  <c r="Z59" i="46" s="1"/>
  <c r="U59" i="46"/>
  <c r="AA59" i="46" s="1" a="1"/>
  <c r="AA59" i="46" s="1"/>
  <c r="Q60" i="46"/>
  <c r="W60" i="46" s="1" a="1"/>
  <c r="W60" i="46" s="1"/>
  <c r="R60" i="46"/>
  <c r="X60" i="46" s="1" a="1"/>
  <c r="X60" i="46" s="1"/>
  <c r="S60" i="46"/>
  <c r="Y60" i="46" s="1" a="1"/>
  <c r="Y60" i="46" s="1"/>
  <c r="T60" i="46"/>
  <c r="Z60" i="46" s="1" a="1"/>
  <c r="Z60" i="46" s="1"/>
  <c r="U60" i="46"/>
  <c r="AA60" i="46" s="1" a="1"/>
  <c r="AA60" i="46" s="1"/>
  <c r="Q61" i="46"/>
  <c r="W61" i="46" s="1" a="1"/>
  <c r="W61" i="46" s="1"/>
  <c r="R61" i="46"/>
  <c r="X61" i="46" s="1" a="1"/>
  <c r="X61" i="46" s="1"/>
  <c r="S61" i="46"/>
  <c r="Y61" i="46" s="1" a="1"/>
  <c r="Y61" i="46" s="1"/>
  <c r="T61" i="46"/>
  <c r="Z61" i="46" s="1" a="1"/>
  <c r="Z61" i="46" s="1"/>
  <c r="U61" i="46"/>
  <c r="AA61" i="46" s="1" a="1"/>
  <c r="AA61" i="46" s="1"/>
  <c r="Q62" i="46"/>
  <c r="W62" i="46" s="1" a="1"/>
  <c r="W62" i="46" s="1"/>
  <c r="R62" i="46"/>
  <c r="X62" i="46" s="1" a="1"/>
  <c r="X62" i="46" s="1"/>
  <c r="S62" i="46"/>
  <c r="Y62" i="46" s="1" a="1"/>
  <c r="Y62" i="46" s="1"/>
  <c r="T62" i="46"/>
  <c r="Z62" i="46" s="1" a="1"/>
  <c r="Z62" i="46" s="1"/>
  <c r="U62" i="46"/>
  <c r="AA62" i="46" s="1" a="1"/>
  <c r="AA62" i="46" s="1"/>
  <c r="Q63" i="46"/>
  <c r="W63" i="46" s="1" a="1"/>
  <c r="W63" i="46" s="1"/>
  <c r="R63" i="46"/>
  <c r="X63" i="46" s="1" a="1"/>
  <c r="X63" i="46" s="1"/>
  <c r="S63" i="46"/>
  <c r="Y63" i="46" s="1" a="1"/>
  <c r="Y63" i="46" s="1"/>
  <c r="T63" i="46"/>
  <c r="Z63" i="46" s="1" a="1"/>
  <c r="Z63" i="46" s="1"/>
  <c r="U63" i="46"/>
  <c r="AA63" i="46" s="1" a="1"/>
  <c r="AA63" i="46" s="1"/>
  <c r="Q64" i="46"/>
  <c r="W64" i="46" s="1" a="1"/>
  <c r="W64" i="46" s="1"/>
  <c r="R64" i="46"/>
  <c r="X64" i="46" s="1" a="1"/>
  <c r="X64" i="46" s="1"/>
  <c r="S64" i="46"/>
  <c r="Y64" i="46" s="1" a="1"/>
  <c r="Y64" i="46" s="1"/>
  <c r="T64" i="46"/>
  <c r="Z64" i="46" s="1" a="1"/>
  <c r="Z64" i="46" s="1"/>
  <c r="U64" i="46"/>
  <c r="AA64" i="46" s="1" a="1"/>
  <c r="AA64" i="46" s="1"/>
  <c r="Q65" i="46"/>
  <c r="W65" i="46" s="1" a="1"/>
  <c r="W65" i="46" s="1"/>
  <c r="R65" i="46"/>
  <c r="X65" i="46" s="1" a="1"/>
  <c r="X65" i="46" s="1"/>
  <c r="S65" i="46"/>
  <c r="Y65" i="46" s="1" a="1"/>
  <c r="Y65" i="46" s="1"/>
  <c r="T65" i="46"/>
  <c r="Z65" i="46" s="1" a="1"/>
  <c r="Z65" i="46" s="1"/>
  <c r="U65" i="46"/>
  <c r="AA65" i="46" s="1" a="1"/>
  <c r="AA65" i="46" s="1"/>
  <c r="Q66" i="46"/>
  <c r="W66" i="46" s="1" a="1"/>
  <c r="W66" i="46" s="1"/>
  <c r="R66" i="46"/>
  <c r="X66" i="46" s="1" a="1"/>
  <c r="X66" i="46" s="1"/>
  <c r="S66" i="46"/>
  <c r="Y66" i="46" s="1" a="1"/>
  <c r="Y66" i="46" s="1"/>
  <c r="T66" i="46"/>
  <c r="Z66" i="46" s="1" a="1"/>
  <c r="Z66" i="46" s="1"/>
  <c r="U66" i="46"/>
  <c r="AA66" i="46" s="1" a="1"/>
  <c r="AA66" i="46" s="1"/>
  <c r="Q67" i="46"/>
  <c r="W67" i="46" s="1" a="1"/>
  <c r="W67" i="46" s="1"/>
  <c r="R67" i="46"/>
  <c r="X67" i="46" s="1" a="1"/>
  <c r="X67" i="46" s="1"/>
  <c r="S67" i="46"/>
  <c r="Y67" i="46" s="1" a="1"/>
  <c r="Y67" i="46" s="1"/>
  <c r="T67" i="46"/>
  <c r="Z67" i="46" s="1" a="1"/>
  <c r="Z67" i="46" s="1"/>
  <c r="U67" i="46"/>
  <c r="AA67" i="46" s="1" a="1"/>
  <c r="AA67" i="46" s="1"/>
  <c r="Q68" i="46"/>
  <c r="W68" i="46" s="1" a="1"/>
  <c r="W68" i="46" s="1"/>
  <c r="R68" i="46"/>
  <c r="X68" i="46" s="1" a="1"/>
  <c r="X68" i="46" s="1"/>
  <c r="S68" i="46"/>
  <c r="Y68" i="46" s="1" a="1"/>
  <c r="Y68" i="46" s="1"/>
  <c r="T68" i="46"/>
  <c r="Z68" i="46" s="1" a="1"/>
  <c r="Z68" i="46" s="1"/>
  <c r="U68" i="46"/>
  <c r="AA68" i="46" s="1" a="1"/>
  <c r="AA68" i="46" s="1"/>
  <c r="Q69" i="46"/>
  <c r="W69" i="46" s="1" a="1"/>
  <c r="W69" i="46" s="1"/>
  <c r="R69" i="46"/>
  <c r="X69" i="46" s="1" a="1"/>
  <c r="X69" i="46" s="1"/>
  <c r="S69" i="46"/>
  <c r="Y69" i="46" s="1" a="1"/>
  <c r="Y69" i="46" s="1"/>
  <c r="T69" i="46"/>
  <c r="Z69" i="46" s="1" a="1"/>
  <c r="Z69" i="46" s="1"/>
  <c r="U69" i="46"/>
  <c r="AA69" i="46" s="1" a="1"/>
  <c r="AA69" i="46" s="1"/>
  <c r="Q70" i="46"/>
  <c r="W70" i="46" s="1" a="1"/>
  <c r="W70" i="46" s="1"/>
  <c r="R70" i="46"/>
  <c r="X70" i="46" s="1" a="1"/>
  <c r="X70" i="46" s="1"/>
  <c r="S70" i="46"/>
  <c r="Y70" i="46" s="1" a="1"/>
  <c r="Y70" i="46" s="1"/>
  <c r="T70" i="46"/>
  <c r="Z70" i="46" s="1" a="1"/>
  <c r="Z70" i="46" s="1"/>
  <c r="U70" i="46"/>
  <c r="AA70" i="46" s="1" a="1"/>
  <c r="AA70" i="46" s="1"/>
  <c r="Q71" i="46"/>
  <c r="W71" i="46" s="1" a="1"/>
  <c r="W71" i="46" s="1"/>
  <c r="R71" i="46"/>
  <c r="X71" i="46" s="1" a="1"/>
  <c r="X71" i="46" s="1"/>
  <c r="S71" i="46"/>
  <c r="Y71" i="46" s="1" a="1"/>
  <c r="Y71" i="46" s="1"/>
  <c r="T71" i="46"/>
  <c r="Z71" i="46" s="1" a="1"/>
  <c r="Z71" i="46" s="1"/>
  <c r="U71" i="46"/>
  <c r="AA71" i="46" s="1" a="1"/>
  <c r="AA71" i="46" s="1"/>
  <c r="Q72" i="46"/>
  <c r="W72" i="46" s="1" a="1"/>
  <c r="W72" i="46" s="1"/>
  <c r="R72" i="46"/>
  <c r="X72" i="46" s="1" a="1"/>
  <c r="X72" i="46" s="1"/>
  <c r="S72" i="46"/>
  <c r="Y72" i="46" s="1" a="1"/>
  <c r="Y72" i="46" s="1"/>
  <c r="T72" i="46"/>
  <c r="Z72" i="46" s="1" a="1"/>
  <c r="Z72" i="46" s="1"/>
  <c r="U72" i="46"/>
  <c r="AA72" i="46" s="1" a="1"/>
  <c r="AA72" i="46" s="1"/>
  <c r="Q73" i="46"/>
  <c r="W73" i="46" s="1" a="1"/>
  <c r="W73" i="46" s="1"/>
  <c r="R73" i="46"/>
  <c r="X73" i="46" s="1" a="1"/>
  <c r="X73" i="46" s="1"/>
  <c r="S73" i="46"/>
  <c r="Y73" i="46" s="1" a="1"/>
  <c r="Y73" i="46" s="1"/>
  <c r="T73" i="46"/>
  <c r="Z73" i="46" s="1" a="1"/>
  <c r="Z73" i="46" s="1"/>
  <c r="U73" i="46"/>
  <c r="AA73" i="46" s="1" a="1"/>
  <c r="AA73" i="46" s="1"/>
  <c r="Q74" i="46"/>
  <c r="W74" i="46" s="1" a="1"/>
  <c r="W74" i="46" s="1"/>
  <c r="R74" i="46"/>
  <c r="X74" i="46" s="1" a="1"/>
  <c r="X74" i="46" s="1"/>
  <c r="S74" i="46"/>
  <c r="Y74" i="46" s="1" a="1"/>
  <c r="Y74" i="46" s="1"/>
  <c r="T74" i="46"/>
  <c r="Z74" i="46" s="1" a="1"/>
  <c r="Z74" i="46" s="1"/>
  <c r="U74" i="46"/>
  <c r="AA74" i="46" s="1" a="1"/>
  <c r="AA74" i="46" s="1"/>
  <c r="Q75" i="46"/>
  <c r="W75" i="46" s="1" a="1"/>
  <c r="W75" i="46" s="1"/>
  <c r="R75" i="46"/>
  <c r="X75" i="46" s="1" a="1"/>
  <c r="X75" i="46" s="1"/>
  <c r="S75" i="46"/>
  <c r="Y75" i="46" s="1" a="1"/>
  <c r="Y75" i="46" s="1"/>
  <c r="T75" i="46"/>
  <c r="Z75" i="46" s="1" a="1"/>
  <c r="Z75" i="46" s="1"/>
  <c r="U75" i="46"/>
  <c r="AA75" i="46" s="1" a="1"/>
  <c r="AA75" i="46" s="1"/>
  <c r="Q76" i="46"/>
  <c r="W76" i="46" s="1" a="1"/>
  <c r="W76" i="46" s="1"/>
  <c r="R76" i="46"/>
  <c r="X76" i="46" s="1" a="1"/>
  <c r="X76" i="46" s="1"/>
  <c r="S76" i="46"/>
  <c r="Y76" i="46" s="1" a="1"/>
  <c r="Y76" i="46" s="1"/>
  <c r="T76" i="46"/>
  <c r="Z76" i="46" s="1" a="1"/>
  <c r="Z76" i="46" s="1"/>
  <c r="U76" i="46"/>
  <c r="AA76" i="46" s="1" a="1"/>
  <c r="AA76" i="46" s="1"/>
  <c r="Q77" i="46"/>
  <c r="W77" i="46" s="1" a="1"/>
  <c r="W77" i="46" s="1"/>
  <c r="R77" i="46"/>
  <c r="X77" i="46" s="1" a="1"/>
  <c r="X77" i="46" s="1"/>
  <c r="S77" i="46"/>
  <c r="Y77" i="46" s="1" a="1"/>
  <c r="Y77" i="46" s="1"/>
  <c r="T77" i="46"/>
  <c r="Z77" i="46" s="1" a="1"/>
  <c r="Z77" i="46" s="1"/>
  <c r="U77" i="46"/>
  <c r="AA77" i="46" s="1" a="1"/>
  <c r="AA77" i="46" s="1"/>
  <c r="Q78" i="46"/>
  <c r="W78" i="46" s="1" a="1"/>
  <c r="W78" i="46" s="1"/>
  <c r="R78" i="46"/>
  <c r="X78" i="46" s="1" a="1"/>
  <c r="X78" i="46" s="1"/>
  <c r="S78" i="46"/>
  <c r="Y78" i="46" s="1" a="1"/>
  <c r="Y78" i="46" s="1"/>
  <c r="T78" i="46"/>
  <c r="Z78" i="46" s="1" a="1"/>
  <c r="Z78" i="46" s="1"/>
  <c r="U78" i="46"/>
  <c r="AA78" i="46" s="1" a="1"/>
  <c r="AA78" i="46" s="1"/>
  <c r="Q79" i="46"/>
  <c r="W79" i="46" s="1" a="1"/>
  <c r="W79" i="46" s="1"/>
  <c r="R79" i="46"/>
  <c r="X79" i="46" s="1" a="1"/>
  <c r="X79" i="46" s="1"/>
  <c r="S79" i="46"/>
  <c r="Y79" i="46" s="1" a="1"/>
  <c r="Y79" i="46" s="1"/>
  <c r="T79" i="46"/>
  <c r="Z79" i="46" s="1" a="1"/>
  <c r="Z79" i="46" s="1"/>
  <c r="U79" i="46"/>
  <c r="AA79" i="46" s="1" a="1"/>
  <c r="AA79" i="46" s="1"/>
  <c r="Q80" i="46"/>
  <c r="W80" i="46" s="1" a="1"/>
  <c r="W80" i="46" s="1"/>
  <c r="R80" i="46"/>
  <c r="X80" i="46" s="1" a="1"/>
  <c r="X80" i="46" s="1"/>
  <c r="S80" i="46"/>
  <c r="Y80" i="46" s="1" a="1"/>
  <c r="Y80" i="46" s="1"/>
  <c r="T80" i="46"/>
  <c r="Z80" i="46" s="1" a="1"/>
  <c r="Z80" i="46" s="1"/>
  <c r="U80" i="46"/>
  <c r="AA80" i="46" s="1" a="1"/>
  <c r="AA80" i="46" s="1"/>
  <c r="Q81" i="46"/>
  <c r="W81" i="46" s="1" a="1"/>
  <c r="W81" i="46" s="1"/>
  <c r="R81" i="46"/>
  <c r="X81" i="46" s="1" a="1"/>
  <c r="X81" i="46" s="1"/>
  <c r="S81" i="46"/>
  <c r="Y81" i="46" s="1" a="1"/>
  <c r="Y81" i="46" s="1"/>
  <c r="T81" i="46"/>
  <c r="Z81" i="46" s="1" a="1"/>
  <c r="Z81" i="46" s="1"/>
  <c r="U81" i="46"/>
  <c r="AA81" i="46" s="1" a="1"/>
  <c r="AA81" i="46" s="1"/>
  <c r="Q82" i="46"/>
  <c r="W82" i="46" s="1" a="1"/>
  <c r="W82" i="46" s="1"/>
  <c r="R82" i="46"/>
  <c r="X82" i="46" s="1" a="1"/>
  <c r="X82" i="46" s="1"/>
  <c r="S82" i="46"/>
  <c r="Y82" i="46" s="1" a="1"/>
  <c r="Y82" i="46" s="1"/>
  <c r="T82" i="46"/>
  <c r="Z82" i="46" s="1" a="1"/>
  <c r="Z82" i="46" s="1"/>
  <c r="U82" i="46"/>
  <c r="AA82" i="46" s="1" a="1"/>
  <c r="AA82" i="46" s="1"/>
  <c r="Q83" i="46"/>
  <c r="W83" i="46" s="1" a="1"/>
  <c r="W83" i="46" s="1"/>
  <c r="R83" i="46"/>
  <c r="X83" i="46" s="1" a="1"/>
  <c r="X83" i="46" s="1"/>
  <c r="S83" i="46"/>
  <c r="Y83" i="46" s="1" a="1"/>
  <c r="Y83" i="46" s="1"/>
  <c r="T83" i="46"/>
  <c r="Z83" i="46" s="1" a="1"/>
  <c r="Z83" i="46" s="1"/>
  <c r="U83" i="46"/>
  <c r="AA83" i="46" s="1" a="1"/>
  <c r="AA83" i="46" s="1"/>
  <c r="Q84" i="46"/>
  <c r="W84" i="46" s="1" a="1"/>
  <c r="W84" i="46" s="1"/>
  <c r="R84" i="46"/>
  <c r="X84" i="46" s="1" a="1"/>
  <c r="X84" i="46" s="1"/>
  <c r="S84" i="46"/>
  <c r="Y84" i="46" s="1" a="1"/>
  <c r="Y84" i="46" s="1"/>
  <c r="T84" i="46"/>
  <c r="Z84" i="46" s="1" a="1"/>
  <c r="Z84" i="46" s="1"/>
  <c r="U84" i="46"/>
  <c r="AA84" i="46" s="1" a="1"/>
  <c r="AA84" i="46" s="1"/>
  <c r="Q85" i="46"/>
  <c r="W85" i="46" s="1" a="1"/>
  <c r="W85" i="46" s="1"/>
  <c r="R85" i="46"/>
  <c r="X85" i="46" s="1" a="1"/>
  <c r="X85" i="46" s="1"/>
  <c r="S85" i="46"/>
  <c r="Y85" i="46" s="1" a="1"/>
  <c r="Y85" i="46" s="1"/>
  <c r="T85" i="46"/>
  <c r="Z85" i="46" s="1" a="1"/>
  <c r="Z85" i="46" s="1"/>
  <c r="U85" i="46"/>
  <c r="AA85" i="46" s="1" a="1"/>
  <c r="AA85" i="46" s="1"/>
  <c r="Q86" i="46"/>
  <c r="W86" i="46" s="1" a="1"/>
  <c r="W86" i="46" s="1"/>
  <c r="R86" i="46"/>
  <c r="X86" i="46" s="1" a="1"/>
  <c r="X86" i="46" s="1"/>
  <c r="S86" i="46"/>
  <c r="Y86" i="46" s="1" a="1"/>
  <c r="Y86" i="46" s="1"/>
  <c r="T86" i="46"/>
  <c r="Z86" i="46" s="1" a="1"/>
  <c r="Z86" i="46" s="1"/>
  <c r="U86" i="46"/>
  <c r="AA86" i="46" s="1" a="1"/>
  <c r="AA86" i="46" s="1"/>
  <c r="Q87" i="46"/>
  <c r="W87" i="46" s="1" a="1"/>
  <c r="W87" i="46" s="1"/>
  <c r="R87" i="46"/>
  <c r="X87" i="46" s="1" a="1"/>
  <c r="X87" i="46" s="1"/>
  <c r="S87" i="46"/>
  <c r="Y87" i="46" s="1" a="1"/>
  <c r="Y87" i="46" s="1"/>
  <c r="T87" i="46"/>
  <c r="Z87" i="46" s="1" a="1"/>
  <c r="Z87" i="46" s="1"/>
  <c r="U87" i="46"/>
  <c r="AA87" i="46" s="1" a="1"/>
  <c r="AA87" i="46" s="1"/>
  <c r="Q88" i="46"/>
  <c r="W88" i="46" s="1" a="1"/>
  <c r="W88" i="46" s="1"/>
  <c r="R88" i="46"/>
  <c r="X88" i="46" s="1" a="1"/>
  <c r="X88" i="46" s="1"/>
  <c r="S88" i="46"/>
  <c r="Y88" i="46" s="1" a="1"/>
  <c r="Y88" i="46" s="1"/>
  <c r="T88" i="46"/>
  <c r="Z88" i="46" s="1" a="1"/>
  <c r="Z88" i="46" s="1"/>
  <c r="U88" i="46"/>
  <c r="AA88" i="46" s="1" a="1"/>
  <c r="AA88" i="46" s="1"/>
  <c r="Q89" i="46"/>
  <c r="W89" i="46" s="1" a="1"/>
  <c r="W89" i="46" s="1"/>
  <c r="R89" i="46"/>
  <c r="X89" i="46" s="1" a="1"/>
  <c r="X89" i="46" s="1"/>
  <c r="S89" i="46"/>
  <c r="Y89" i="46" s="1" a="1"/>
  <c r="Y89" i="46" s="1"/>
  <c r="T89" i="46"/>
  <c r="Z89" i="46" s="1" a="1"/>
  <c r="Z89" i="46" s="1"/>
  <c r="U89" i="46"/>
  <c r="AA89" i="46" s="1" a="1"/>
  <c r="AA89" i="46" s="1"/>
  <c r="Q90" i="46"/>
  <c r="W90" i="46" s="1" a="1"/>
  <c r="W90" i="46" s="1"/>
  <c r="R90" i="46"/>
  <c r="X90" i="46" s="1" a="1"/>
  <c r="X90" i="46" s="1"/>
  <c r="S90" i="46"/>
  <c r="Y90" i="46" s="1" a="1"/>
  <c r="Y90" i="46" s="1"/>
  <c r="T90" i="46"/>
  <c r="Z90" i="46" s="1" a="1"/>
  <c r="Z90" i="46" s="1"/>
  <c r="U90" i="46"/>
  <c r="AA90" i="46" s="1" a="1"/>
  <c r="AA90" i="46" s="1"/>
  <c r="Q91" i="46"/>
  <c r="W91" i="46" s="1" a="1"/>
  <c r="W91" i="46" s="1"/>
  <c r="R91" i="46"/>
  <c r="X91" i="46" s="1" a="1"/>
  <c r="X91" i="46" s="1"/>
  <c r="S91" i="46"/>
  <c r="Y91" i="46" s="1" a="1"/>
  <c r="Y91" i="46" s="1"/>
  <c r="T91" i="46"/>
  <c r="Z91" i="46" s="1" a="1"/>
  <c r="Z91" i="46" s="1"/>
  <c r="U91" i="46"/>
  <c r="AA91" i="46" s="1" a="1"/>
  <c r="AA91" i="46" s="1"/>
  <c r="Q92" i="46"/>
  <c r="W92" i="46" s="1" a="1"/>
  <c r="W92" i="46" s="1"/>
  <c r="R92" i="46"/>
  <c r="X92" i="46" s="1" a="1"/>
  <c r="X92" i="46" s="1"/>
  <c r="S92" i="46"/>
  <c r="Y92" i="46" s="1" a="1"/>
  <c r="Y92" i="46" s="1"/>
  <c r="T92" i="46"/>
  <c r="Z92" i="46" s="1" a="1"/>
  <c r="Z92" i="46" s="1"/>
  <c r="U92" i="46"/>
  <c r="AA92" i="46" s="1" a="1"/>
  <c r="AA92" i="46" s="1"/>
  <c r="Q93" i="46"/>
  <c r="W93" i="46" s="1" a="1"/>
  <c r="W93" i="46" s="1"/>
  <c r="R93" i="46"/>
  <c r="X93" i="46" s="1" a="1"/>
  <c r="X93" i="46" s="1"/>
  <c r="S93" i="46"/>
  <c r="Y93" i="46" s="1" a="1"/>
  <c r="Y93" i="46" s="1"/>
  <c r="T93" i="46"/>
  <c r="Z93" i="46" s="1" a="1"/>
  <c r="Z93" i="46" s="1"/>
  <c r="U93" i="46"/>
  <c r="AA93" i="46" s="1" a="1"/>
  <c r="AA93" i="46" s="1"/>
  <c r="Q94" i="46"/>
  <c r="W94" i="46" s="1" a="1"/>
  <c r="W94" i="46" s="1"/>
  <c r="R94" i="46"/>
  <c r="X94" i="46" s="1" a="1"/>
  <c r="X94" i="46" s="1"/>
  <c r="S94" i="46"/>
  <c r="Y94" i="46" s="1" a="1"/>
  <c r="Y94" i="46" s="1"/>
  <c r="T94" i="46"/>
  <c r="Z94" i="46" s="1" a="1"/>
  <c r="Z94" i="46" s="1"/>
  <c r="U94" i="46"/>
  <c r="AA94" i="46" s="1" a="1"/>
  <c r="AA94" i="46" s="1"/>
  <c r="Q95" i="46"/>
  <c r="W95" i="46" s="1" a="1"/>
  <c r="W95" i="46" s="1"/>
  <c r="R95" i="46"/>
  <c r="X95" i="46" s="1" a="1"/>
  <c r="X95" i="46" s="1"/>
  <c r="S95" i="46"/>
  <c r="Y95" i="46" s="1" a="1"/>
  <c r="Y95" i="46" s="1"/>
  <c r="T95" i="46"/>
  <c r="Z95" i="46" s="1" a="1"/>
  <c r="Z95" i="46" s="1"/>
  <c r="U95" i="46"/>
  <c r="AA95" i="46" s="1" a="1"/>
  <c r="AA95" i="46" s="1"/>
  <c r="Q96" i="46"/>
  <c r="W96" i="46" s="1" a="1"/>
  <c r="W96" i="46" s="1"/>
  <c r="R96" i="46"/>
  <c r="X96" i="46" s="1" a="1"/>
  <c r="X96" i="46" s="1"/>
  <c r="S96" i="46"/>
  <c r="Y96" i="46" s="1" a="1"/>
  <c r="Y96" i="46" s="1"/>
  <c r="T96" i="46"/>
  <c r="Z96" i="46" s="1" a="1"/>
  <c r="Z96" i="46" s="1"/>
  <c r="U96" i="46"/>
  <c r="AA96" i="46" s="1" a="1"/>
  <c r="AA96" i="46" s="1"/>
  <c r="Q97" i="46"/>
  <c r="W97" i="46" s="1" a="1"/>
  <c r="W97" i="46" s="1"/>
  <c r="R97" i="46"/>
  <c r="X97" i="46" s="1" a="1"/>
  <c r="X97" i="46" s="1"/>
  <c r="S97" i="46"/>
  <c r="Y97" i="46" s="1" a="1"/>
  <c r="Y97" i="46" s="1"/>
  <c r="T97" i="46"/>
  <c r="Z97" i="46" s="1" a="1"/>
  <c r="Z97" i="46" s="1"/>
  <c r="U97" i="46"/>
  <c r="AA97" i="46" s="1" a="1"/>
  <c r="AA97" i="46" s="1"/>
  <c r="Q98" i="46"/>
  <c r="W98" i="46" s="1" a="1"/>
  <c r="W98" i="46" s="1"/>
  <c r="R98" i="46"/>
  <c r="X98" i="46" s="1" a="1"/>
  <c r="X98" i="46" s="1"/>
  <c r="S98" i="46"/>
  <c r="Y98" i="46" s="1" a="1"/>
  <c r="Y98" i="46" s="1"/>
  <c r="T98" i="46"/>
  <c r="Z98" i="46" s="1" a="1"/>
  <c r="Z98" i="46" s="1"/>
  <c r="U98" i="46"/>
  <c r="AA98" i="46" s="1" a="1"/>
  <c r="AA98" i="46" s="1"/>
  <c r="Q99" i="46"/>
  <c r="W99" i="46" s="1" a="1"/>
  <c r="W99" i="46" s="1"/>
  <c r="R99" i="46"/>
  <c r="X99" i="46" s="1" a="1"/>
  <c r="X99" i="46" s="1"/>
  <c r="S99" i="46"/>
  <c r="Y99" i="46" s="1" a="1"/>
  <c r="Y99" i="46" s="1"/>
  <c r="T99" i="46"/>
  <c r="Z99" i="46" s="1" a="1"/>
  <c r="Z99" i="46" s="1"/>
  <c r="U99" i="46"/>
  <c r="AA99" i="46" s="1" a="1"/>
  <c r="AA99" i="46" s="1"/>
  <c r="Q100" i="46"/>
  <c r="W100" i="46" s="1" a="1"/>
  <c r="W100" i="46" s="1"/>
  <c r="R100" i="46"/>
  <c r="X100" i="46" s="1" a="1"/>
  <c r="X100" i="46" s="1"/>
  <c r="S100" i="46"/>
  <c r="Y100" i="46" s="1" a="1"/>
  <c r="Y100" i="46" s="1"/>
  <c r="T100" i="46"/>
  <c r="Z100" i="46" s="1" a="1"/>
  <c r="Z100" i="46" s="1"/>
  <c r="U100" i="46"/>
  <c r="AA100" i="46" s="1" a="1"/>
  <c r="AA100" i="46" s="1"/>
  <c r="Q101" i="46"/>
  <c r="W101" i="46" s="1" a="1"/>
  <c r="W101" i="46" s="1"/>
  <c r="R101" i="46"/>
  <c r="X101" i="46" s="1" a="1"/>
  <c r="X101" i="46" s="1"/>
  <c r="S101" i="46"/>
  <c r="Y101" i="46" s="1" a="1"/>
  <c r="Y101" i="46" s="1"/>
  <c r="T101" i="46"/>
  <c r="Z101" i="46" s="1" a="1"/>
  <c r="Z101" i="46" s="1"/>
  <c r="U101" i="46"/>
  <c r="AA101" i="46" s="1" a="1"/>
  <c r="AA101" i="46" s="1"/>
  <c r="Q102" i="46"/>
  <c r="W102" i="46" s="1" a="1"/>
  <c r="W102" i="46" s="1"/>
  <c r="R102" i="46"/>
  <c r="X102" i="46" s="1" a="1"/>
  <c r="X102" i="46" s="1"/>
  <c r="S102" i="46"/>
  <c r="Y102" i="46" s="1" a="1"/>
  <c r="Y102" i="46" s="1"/>
  <c r="T102" i="46"/>
  <c r="Z102" i="46" s="1" a="1"/>
  <c r="Z102" i="46" s="1"/>
  <c r="U102" i="46"/>
  <c r="AA102" i="46" s="1" a="1"/>
  <c r="AA102" i="46" s="1"/>
  <c r="Q103" i="46"/>
  <c r="W103" i="46" s="1" a="1"/>
  <c r="W103" i="46" s="1"/>
  <c r="R103" i="46"/>
  <c r="X103" i="46" s="1" a="1"/>
  <c r="X103" i="46" s="1"/>
  <c r="S103" i="46"/>
  <c r="Y103" i="46" s="1" a="1"/>
  <c r="Y103" i="46" s="1"/>
  <c r="T103" i="46"/>
  <c r="Z103" i="46" s="1" a="1"/>
  <c r="Z103" i="46" s="1"/>
  <c r="U103" i="46"/>
  <c r="AA103" i="46" s="1" a="1"/>
  <c r="AA103" i="46" s="1"/>
  <c r="Q104" i="46"/>
  <c r="W104" i="46" s="1" a="1"/>
  <c r="W104" i="46" s="1"/>
  <c r="R104" i="46"/>
  <c r="X104" i="46" s="1" a="1"/>
  <c r="X104" i="46" s="1"/>
  <c r="S104" i="46"/>
  <c r="Y104" i="46" s="1" a="1"/>
  <c r="Y104" i="46" s="1"/>
  <c r="T104" i="46"/>
  <c r="Z104" i="46" s="1" a="1"/>
  <c r="Z104" i="46" s="1"/>
  <c r="U104" i="46"/>
  <c r="AA104" i="46" s="1" a="1"/>
  <c r="AA104" i="46" s="1"/>
  <c r="Q105" i="46"/>
  <c r="W105" i="46" s="1" a="1"/>
  <c r="W105" i="46" s="1"/>
  <c r="R105" i="46"/>
  <c r="X105" i="46" s="1" a="1"/>
  <c r="X105" i="46" s="1"/>
  <c r="S105" i="46"/>
  <c r="Y105" i="46" s="1" a="1"/>
  <c r="Y105" i="46" s="1"/>
  <c r="T105" i="46"/>
  <c r="Z105" i="46" s="1" a="1"/>
  <c r="Z105" i="46" s="1"/>
  <c r="U105" i="46"/>
  <c r="AA105" i="46" s="1" a="1"/>
  <c r="AA105" i="46" s="1"/>
  <c r="Q106" i="46"/>
  <c r="W106" i="46" s="1" a="1"/>
  <c r="W106" i="46" s="1"/>
  <c r="R106" i="46"/>
  <c r="X106" i="46" s="1" a="1"/>
  <c r="X106" i="46" s="1"/>
  <c r="S106" i="46"/>
  <c r="Y106" i="46" s="1" a="1"/>
  <c r="Y106" i="46" s="1"/>
  <c r="T106" i="46"/>
  <c r="Z106" i="46" s="1" a="1"/>
  <c r="Z106" i="46" s="1"/>
  <c r="U106" i="46"/>
  <c r="AA106" i="46" s="1" a="1"/>
  <c r="AA106" i="46" s="1"/>
  <c r="Q107" i="46"/>
  <c r="W107" i="46" s="1" a="1"/>
  <c r="W107" i="46" s="1"/>
  <c r="R107" i="46"/>
  <c r="X107" i="46" s="1" a="1"/>
  <c r="X107" i="46" s="1"/>
  <c r="S107" i="46"/>
  <c r="Y107" i="46" s="1" a="1"/>
  <c r="Y107" i="46" s="1"/>
  <c r="T107" i="46"/>
  <c r="Z107" i="46" s="1" a="1"/>
  <c r="Z107" i="46" s="1"/>
  <c r="U107" i="46"/>
  <c r="AA107" i="46" s="1" a="1"/>
  <c r="AA107" i="46" s="1"/>
  <c r="Q108" i="46"/>
  <c r="W108" i="46" s="1" a="1"/>
  <c r="W108" i="46" s="1"/>
  <c r="R108" i="46"/>
  <c r="X108" i="46" s="1" a="1"/>
  <c r="X108" i="46" s="1"/>
  <c r="S108" i="46"/>
  <c r="Y108" i="46" s="1" a="1"/>
  <c r="Y108" i="46" s="1"/>
  <c r="T108" i="46"/>
  <c r="Z108" i="46" s="1" a="1"/>
  <c r="Z108" i="46" s="1"/>
  <c r="U108" i="46"/>
  <c r="AA108" i="46" s="1" a="1"/>
  <c r="AA108" i="46" s="1"/>
  <c r="Q109" i="46"/>
  <c r="W109" i="46" s="1" a="1"/>
  <c r="W109" i="46" s="1"/>
  <c r="R109" i="46"/>
  <c r="X109" i="46" s="1" a="1"/>
  <c r="X109" i="46" s="1"/>
  <c r="S109" i="46"/>
  <c r="Y109" i="46" s="1" a="1"/>
  <c r="Y109" i="46" s="1"/>
  <c r="T109" i="46"/>
  <c r="Z109" i="46" s="1" a="1"/>
  <c r="Z109" i="46" s="1"/>
  <c r="U109" i="46"/>
  <c r="AA109" i="46" s="1" a="1"/>
  <c r="AA109" i="46" s="1"/>
  <c r="Q110" i="46"/>
  <c r="W110" i="46" s="1" a="1"/>
  <c r="W110" i="46" s="1"/>
  <c r="R110" i="46"/>
  <c r="X110" i="46" s="1" a="1"/>
  <c r="X110" i="46" s="1"/>
  <c r="S110" i="46"/>
  <c r="Y110" i="46" s="1" a="1"/>
  <c r="Y110" i="46" s="1"/>
  <c r="T110" i="46"/>
  <c r="Z110" i="46" s="1" a="1"/>
  <c r="Z110" i="46" s="1"/>
  <c r="U110" i="46"/>
  <c r="AA110" i="46" s="1" a="1"/>
  <c r="AA110" i="46" s="1"/>
  <c r="Q111" i="46"/>
  <c r="W111" i="46" s="1" a="1"/>
  <c r="W111" i="46" s="1"/>
  <c r="R111" i="46"/>
  <c r="X111" i="46" s="1" a="1"/>
  <c r="X111" i="46" s="1"/>
  <c r="S111" i="46"/>
  <c r="Y111" i="46" s="1" a="1"/>
  <c r="Y111" i="46" s="1"/>
  <c r="T111" i="46"/>
  <c r="Z111" i="46" s="1" a="1"/>
  <c r="Z111" i="46" s="1"/>
  <c r="U111" i="46"/>
  <c r="AA111" i="46" s="1" a="1"/>
  <c r="AA111" i="46" s="1"/>
  <c r="Q112" i="46"/>
  <c r="W112" i="46" s="1" a="1"/>
  <c r="W112" i="46" s="1"/>
  <c r="R112" i="46"/>
  <c r="X112" i="46" s="1" a="1"/>
  <c r="X112" i="46" s="1"/>
  <c r="S112" i="46"/>
  <c r="Y112" i="46" s="1" a="1"/>
  <c r="Y112" i="46" s="1"/>
  <c r="T112" i="46"/>
  <c r="Z112" i="46" s="1" a="1"/>
  <c r="Z112" i="46" s="1"/>
  <c r="U112" i="46"/>
  <c r="AA112" i="46" s="1" a="1"/>
  <c r="AA112" i="46" s="1"/>
  <c r="Q113" i="46"/>
  <c r="W113" i="46" s="1" a="1"/>
  <c r="W113" i="46" s="1"/>
  <c r="R113" i="46"/>
  <c r="X113" i="46" s="1" a="1"/>
  <c r="X113" i="46" s="1"/>
  <c r="S113" i="46"/>
  <c r="Y113" i="46" s="1" a="1"/>
  <c r="Y113" i="46" s="1"/>
  <c r="T113" i="46"/>
  <c r="Z113" i="46" s="1" a="1"/>
  <c r="Z113" i="46" s="1"/>
  <c r="U113" i="46"/>
  <c r="AA113" i="46" s="1" a="1"/>
  <c r="AA113" i="46" s="1"/>
  <c r="Q114" i="46"/>
  <c r="W114" i="46" s="1" a="1"/>
  <c r="W114" i="46" s="1"/>
  <c r="R114" i="46"/>
  <c r="X114" i="46" s="1" a="1"/>
  <c r="X114" i="46" s="1"/>
  <c r="S114" i="46"/>
  <c r="Y114" i="46" s="1" a="1"/>
  <c r="Y114" i="46" s="1"/>
  <c r="T114" i="46"/>
  <c r="Z114" i="46" s="1" a="1"/>
  <c r="Z114" i="46" s="1"/>
  <c r="U114" i="46"/>
  <c r="AA114" i="46" s="1" a="1"/>
  <c r="AA114" i="46" s="1"/>
  <c r="Q115" i="46"/>
  <c r="W115" i="46" s="1" a="1"/>
  <c r="W115" i="46" s="1"/>
  <c r="R115" i="46"/>
  <c r="X115" i="46" s="1" a="1"/>
  <c r="X115" i="46" s="1"/>
  <c r="S115" i="46"/>
  <c r="Y115" i="46" s="1" a="1"/>
  <c r="Y115" i="46" s="1"/>
  <c r="T115" i="46"/>
  <c r="Z115" i="46" s="1" a="1"/>
  <c r="Z115" i="46" s="1"/>
  <c r="U115" i="46"/>
  <c r="AA115" i="46" s="1" a="1"/>
  <c r="AA115" i="46" s="1"/>
  <c r="Q116" i="46"/>
  <c r="W116" i="46" s="1" a="1"/>
  <c r="W116" i="46" s="1"/>
  <c r="R116" i="46"/>
  <c r="X116" i="46" s="1" a="1"/>
  <c r="X116" i="46" s="1"/>
  <c r="S116" i="46"/>
  <c r="Y116" i="46" s="1" a="1"/>
  <c r="Y116" i="46" s="1"/>
  <c r="T116" i="46"/>
  <c r="Z116" i="46" s="1" a="1"/>
  <c r="Z116" i="46" s="1"/>
  <c r="U116" i="46"/>
  <c r="AA116" i="46" s="1" a="1"/>
  <c r="AA116" i="46" s="1"/>
  <c r="Q117" i="46"/>
  <c r="W117" i="46" s="1" a="1"/>
  <c r="W117" i="46" s="1"/>
  <c r="R117" i="46"/>
  <c r="X117" i="46" s="1" a="1"/>
  <c r="X117" i="46" s="1"/>
  <c r="S117" i="46"/>
  <c r="Y117" i="46" s="1" a="1"/>
  <c r="Y117" i="46" s="1"/>
  <c r="T117" i="46"/>
  <c r="Z117" i="46" s="1" a="1"/>
  <c r="Z117" i="46" s="1"/>
  <c r="U117" i="46"/>
  <c r="AA117" i="46" s="1" a="1"/>
  <c r="AA117" i="46" s="1"/>
  <c r="Q118" i="46"/>
  <c r="W118" i="46" s="1" a="1"/>
  <c r="W118" i="46" s="1"/>
  <c r="R118" i="46"/>
  <c r="X118" i="46" s="1" a="1"/>
  <c r="X118" i="46" s="1"/>
  <c r="S118" i="46"/>
  <c r="Y118" i="46" s="1" a="1"/>
  <c r="Y118" i="46" s="1"/>
  <c r="T118" i="46"/>
  <c r="Z118" i="46" s="1" a="1"/>
  <c r="Z118" i="46" s="1"/>
  <c r="U118" i="46"/>
  <c r="AA118" i="46" s="1" a="1"/>
  <c r="AA118" i="46" s="1"/>
  <c r="Q119" i="46"/>
  <c r="W119" i="46" s="1" a="1"/>
  <c r="W119" i="46" s="1"/>
  <c r="R119" i="46"/>
  <c r="X119" i="46" s="1" a="1"/>
  <c r="X119" i="46" s="1"/>
  <c r="S119" i="46"/>
  <c r="Y119" i="46" s="1" a="1"/>
  <c r="Y119" i="46" s="1"/>
  <c r="T119" i="46"/>
  <c r="Z119" i="46" s="1" a="1"/>
  <c r="Z119" i="46" s="1"/>
  <c r="U119" i="46"/>
  <c r="AA119" i="46" s="1" a="1"/>
  <c r="AA119" i="46" s="1"/>
  <c r="Q120" i="46"/>
  <c r="W120" i="46" s="1" a="1"/>
  <c r="W120" i="46" s="1"/>
  <c r="R120" i="46"/>
  <c r="X120" i="46" s="1" a="1"/>
  <c r="X120" i="46" s="1"/>
  <c r="S120" i="46"/>
  <c r="Y120" i="46" s="1" a="1"/>
  <c r="Y120" i="46" s="1"/>
  <c r="T120" i="46"/>
  <c r="Z120" i="46" s="1" a="1"/>
  <c r="Z120" i="46" s="1"/>
  <c r="U120" i="46"/>
  <c r="AA120" i="46" s="1" a="1"/>
  <c r="AA120" i="46" s="1"/>
  <c r="Q121" i="46"/>
  <c r="W121" i="46" s="1" a="1"/>
  <c r="W121" i="46" s="1"/>
  <c r="R121" i="46"/>
  <c r="X121" i="46" s="1" a="1"/>
  <c r="X121" i="46" s="1"/>
  <c r="S121" i="46"/>
  <c r="Y121" i="46" s="1" a="1"/>
  <c r="Y121" i="46" s="1"/>
  <c r="T121" i="46"/>
  <c r="Z121" i="46" s="1" a="1"/>
  <c r="Z121" i="46" s="1"/>
  <c r="U121" i="46"/>
  <c r="AA121" i="46" s="1" a="1"/>
  <c r="AA121" i="46" s="1"/>
  <c r="Q122" i="46"/>
  <c r="W122" i="46" s="1" a="1"/>
  <c r="W122" i="46" s="1"/>
  <c r="R122" i="46"/>
  <c r="X122" i="46" s="1" a="1"/>
  <c r="X122" i="46" s="1"/>
  <c r="S122" i="46"/>
  <c r="Y122" i="46" s="1" a="1"/>
  <c r="Y122" i="46" s="1"/>
  <c r="T122" i="46"/>
  <c r="Z122" i="46" s="1" a="1"/>
  <c r="Z122" i="46" s="1"/>
  <c r="U122" i="46"/>
  <c r="AA122" i="46" s="1" a="1"/>
  <c r="AA122" i="46" s="1"/>
  <c r="Q123" i="46"/>
  <c r="W123" i="46" s="1" a="1"/>
  <c r="W123" i="46" s="1"/>
  <c r="R123" i="46"/>
  <c r="X123" i="46" s="1" a="1"/>
  <c r="X123" i="46" s="1"/>
  <c r="S123" i="46"/>
  <c r="Y123" i="46" s="1" a="1"/>
  <c r="Y123" i="46" s="1"/>
  <c r="T123" i="46"/>
  <c r="Z123" i="46" s="1" a="1"/>
  <c r="Z123" i="46" s="1"/>
  <c r="U123" i="46"/>
  <c r="AA123" i="46" s="1" a="1"/>
  <c r="AA123" i="46" s="1"/>
  <c r="Q124" i="46"/>
  <c r="W124" i="46" s="1" a="1"/>
  <c r="W124" i="46" s="1"/>
  <c r="R124" i="46"/>
  <c r="X124" i="46" s="1" a="1"/>
  <c r="X124" i="46" s="1"/>
  <c r="S124" i="46"/>
  <c r="Y124" i="46" s="1" a="1"/>
  <c r="Y124" i="46" s="1"/>
  <c r="T124" i="46"/>
  <c r="Z124" i="46" s="1" a="1"/>
  <c r="Z124" i="46" s="1"/>
  <c r="U124" i="46"/>
  <c r="AA124" i="46" s="1" a="1"/>
  <c r="AA124" i="46" s="1"/>
  <c r="Q125" i="46"/>
  <c r="W125" i="46" s="1" a="1"/>
  <c r="W125" i="46" s="1"/>
  <c r="R125" i="46"/>
  <c r="X125" i="46" s="1" a="1"/>
  <c r="X125" i="46" s="1"/>
  <c r="S125" i="46"/>
  <c r="Y125" i="46" s="1" a="1"/>
  <c r="Y125" i="46" s="1"/>
  <c r="T125" i="46"/>
  <c r="Z125" i="46" s="1" a="1"/>
  <c r="Z125" i="46" s="1"/>
  <c r="U125" i="46"/>
  <c r="AA125" i="46" s="1" a="1"/>
  <c r="AA125" i="46" s="1"/>
  <c r="Q126" i="46"/>
  <c r="W126" i="46" s="1" a="1"/>
  <c r="W126" i="46" s="1"/>
  <c r="R126" i="46"/>
  <c r="X126" i="46" s="1" a="1"/>
  <c r="X126" i="46" s="1"/>
  <c r="S126" i="46"/>
  <c r="Y126" i="46" s="1" a="1"/>
  <c r="Y126" i="46" s="1"/>
  <c r="T126" i="46"/>
  <c r="Z126" i="46" s="1" a="1"/>
  <c r="Z126" i="46" s="1"/>
  <c r="U126" i="46"/>
  <c r="AA126" i="46" s="1" a="1"/>
  <c r="AA126" i="46" s="1"/>
  <c r="Q127" i="46"/>
  <c r="W127" i="46" s="1" a="1"/>
  <c r="W127" i="46" s="1"/>
  <c r="R127" i="46"/>
  <c r="X127" i="46" s="1" a="1"/>
  <c r="X127" i="46" s="1"/>
  <c r="S127" i="46"/>
  <c r="Y127" i="46" s="1" a="1"/>
  <c r="Y127" i="46" s="1"/>
  <c r="T127" i="46"/>
  <c r="Z127" i="46" s="1" a="1"/>
  <c r="Z127" i="46" s="1"/>
  <c r="U127" i="46"/>
  <c r="AA127" i="46" s="1" a="1"/>
  <c r="AA127" i="46" s="1"/>
  <c r="Q128" i="46"/>
  <c r="W128" i="46" s="1" a="1"/>
  <c r="W128" i="46" s="1"/>
  <c r="R128" i="46"/>
  <c r="X128" i="46" s="1" a="1"/>
  <c r="X128" i="46" s="1"/>
  <c r="S128" i="46"/>
  <c r="Y128" i="46" s="1" a="1"/>
  <c r="Y128" i="46" s="1"/>
  <c r="T128" i="46"/>
  <c r="Z128" i="46" s="1" a="1"/>
  <c r="Z128" i="46" s="1"/>
  <c r="U128" i="46"/>
  <c r="AA128" i="46" s="1" a="1"/>
  <c r="AA128" i="46" s="1"/>
  <c r="Q129" i="46"/>
  <c r="W129" i="46" s="1" a="1"/>
  <c r="W129" i="46" s="1"/>
  <c r="R129" i="46"/>
  <c r="X129" i="46" s="1" a="1"/>
  <c r="X129" i="46" s="1"/>
  <c r="S129" i="46"/>
  <c r="Y129" i="46" s="1" a="1"/>
  <c r="Y129" i="46" s="1"/>
  <c r="T129" i="46"/>
  <c r="Z129" i="46" s="1" a="1"/>
  <c r="Z129" i="46" s="1"/>
  <c r="U129" i="46"/>
  <c r="AA129" i="46" s="1" a="1"/>
  <c r="AA129" i="46" s="1"/>
  <c r="Q130" i="46"/>
  <c r="W130" i="46" s="1" a="1"/>
  <c r="W130" i="46" s="1"/>
  <c r="R130" i="46"/>
  <c r="X130" i="46" s="1" a="1"/>
  <c r="X130" i="46" s="1"/>
  <c r="S130" i="46"/>
  <c r="Y130" i="46" s="1" a="1"/>
  <c r="Y130" i="46" s="1"/>
  <c r="T130" i="46"/>
  <c r="Z130" i="46" s="1" a="1"/>
  <c r="Z130" i="46" s="1"/>
  <c r="U130" i="46"/>
  <c r="AA130" i="46" s="1" a="1"/>
  <c r="AA130" i="46" s="1"/>
  <c r="Q131" i="46"/>
  <c r="W131" i="46" s="1" a="1"/>
  <c r="W131" i="46" s="1"/>
  <c r="R131" i="46"/>
  <c r="X131" i="46" s="1" a="1"/>
  <c r="X131" i="46" s="1"/>
  <c r="S131" i="46"/>
  <c r="Y131" i="46" s="1" a="1"/>
  <c r="Y131" i="46" s="1"/>
  <c r="T131" i="46"/>
  <c r="Z131" i="46" s="1" a="1"/>
  <c r="Z131" i="46" s="1"/>
  <c r="U131" i="46"/>
  <c r="AA131" i="46" s="1" a="1"/>
  <c r="AA131" i="46" s="1"/>
  <c r="Q132" i="46"/>
  <c r="W132" i="46" s="1" a="1"/>
  <c r="W132" i="46" s="1"/>
  <c r="R132" i="46"/>
  <c r="X132" i="46" s="1" a="1"/>
  <c r="X132" i="46" s="1"/>
  <c r="S132" i="46"/>
  <c r="Y132" i="46" s="1" a="1"/>
  <c r="Y132" i="46" s="1"/>
  <c r="T132" i="46"/>
  <c r="Z132" i="46" s="1" a="1"/>
  <c r="Z132" i="46" s="1"/>
  <c r="U132" i="46"/>
  <c r="AA132" i="46" s="1" a="1"/>
  <c r="AA132" i="46" s="1"/>
  <c r="Q133" i="46"/>
  <c r="W133" i="46" s="1" a="1"/>
  <c r="W133" i="46" s="1"/>
  <c r="R133" i="46"/>
  <c r="X133" i="46" s="1" a="1"/>
  <c r="X133" i="46" s="1"/>
  <c r="S133" i="46"/>
  <c r="Y133" i="46" s="1" a="1"/>
  <c r="Y133" i="46" s="1"/>
  <c r="T133" i="46"/>
  <c r="Z133" i="46" s="1" a="1"/>
  <c r="Z133" i="46" s="1"/>
  <c r="U133" i="46"/>
  <c r="AA133" i="46" s="1" a="1"/>
  <c r="AA133" i="46" s="1"/>
  <c r="Q134" i="46"/>
  <c r="W134" i="46" s="1" a="1"/>
  <c r="W134" i="46" s="1"/>
  <c r="R134" i="46"/>
  <c r="X134" i="46" s="1" a="1"/>
  <c r="X134" i="46" s="1"/>
  <c r="S134" i="46"/>
  <c r="Y134" i="46" s="1" a="1"/>
  <c r="Y134" i="46" s="1"/>
  <c r="T134" i="46"/>
  <c r="Z134" i="46" s="1" a="1"/>
  <c r="Z134" i="46" s="1"/>
  <c r="U134" i="46"/>
  <c r="AA134" i="46" s="1" a="1"/>
  <c r="AA134" i="46" s="1"/>
  <c r="Q135" i="46"/>
  <c r="W135" i="46" s="1" a="1"/>
  <c r="W135" i="46" s="1"/>
  <c r="R135" i="46"/>
  <c r="X135" i="46" s="1" a="1"/>
  <c r="X135" i="46" s="1"/>
  <c r="S135" i="46"/>
  <c r="Y135" i="46" s="1" a="1"/>
  <c r="Y135" i="46" s="1"/>
  <c r="T135" i="46"/>
  <c r="Z135" i="46" s="1" a="1"/>
  <c r="Z135" i="46" s="1"/>
  <c r="U135" i="46"/>
  <c r="AA135" i="46" s="1" a="1"/>
  <c r="AA135" i="46" s="1"/>
  <c r="Q136" i="46"/>
  <c r="W136" i="46" s="1" a="1"/>
  <c r="W136" i="46" s="1"/>
  <c r="R136" i="46"/>
  <c r="X136" i="46" s="1" a="1"/>
  <c r="X136" i="46" s="1"/>
  <c r="S136" i="46"/>
  <c r="Y136" i="46" s="1" a="1"/>
  <c r="Y136" i="46" s="1"/>
  <c r="T136" i="46"/>
  <c r="Z136" i="46" s="1" a="1"/>
  <c r="Z136" i="46" s="1"/>
  <c r="U136" i="46"/>
  <c r="AA136" i="46" s="1" a="1"/>
  <c r="AA136" i="46" s="1"/>
  <c r="Q137" i="46"/>
  <c r="W137" i="46" s="1" a="1"/>
  <c r="W137" i="46" s="1"/>
  <c r="R137" i="46"/>
  <c r="X137" i="46" s="1" a="1"/>
  <c r="X137" i="46" s="1"/>
  <c r="S137" i="46"/>
  <c r="Y137" i="46" s="1" a="1"/>
  <c r="Y137" i="46" s="1"/>
  <c r="T137" i="46"/>
  <c r="Z137" i="46" s="1" a="1"/>
  <c r="Z137" i="46" s="1"/>
  <c r="U137" i="46"/>
  <c r="AA137" i="46" s="1" a="1"/>
  <c r="AA137" i="46" s="1"/>
  <c r="Q138" i="46"/>
  <c r="W138" i="46" s="1" a="1"/>
  <c r="W138" i="46" s="1"/>
  <c r="R138" i="46"/>
  <c r="X138" i="46" s="1" a="1"/>
  <c r="X138" i="46" s="1"/>
  <c r="S138" i="46"/>
  <c r="Y138" i="46" s="1" a="1"/>
  <c r="Y138" i="46" s="1"/>
  <c r="T138" i="46"/>
  <c r="Z138" i="46" s="1" a="1"/>
  <c r="Z138" i="46" s="1"/>
  <c r="U138" i="46"/>
  <c r="AA138" i="46" s="1" a="1"/>
  <c r="AA138" i="46" s="1"/>
  <c r="Q139" i="46"/>
  <c r="W139" i="46" s="1" a="1"/>
  <c r="W139" i="46" s="1"/>
  <c r="R139" i="46"/>
  <c r="X139" i="46" s="1" a="1"/>
  <c r="X139" i="46" s="1"/>
  <c r="S139" i="46"/>
  <c r="Y139" i="46" s="1" a="1"/>
  <c r="Y139" i="46" s="1"/>
  <c r="T139" i="46"/>
  <c r="Z139" i="46" s="1" a="1"/>
  <c r="Z139" i="46" s="1"/>
  <c r="U139" i="46"/>
  <c r="AA139" i="46" s="1" a="1"/>
  <c r="AA139" i="46" s="1"/>
  <c r="Q140" i="46"/>
  <c r="W140" i="46" s="1" a="1"/>
  <c r="W140" i="46" s="1"/>
  <c r="R140" i="46"/>
  <c r="X140" i="46" s="1" a="1"/>
  <c r="X140" i="46" s="1"/>
  <c r="S140" i="46"/>
  <c r="Y140" i="46" s="1" a="1"/>
  <c r="Y140" i="46" s="1"/>
  <c r="T140" i="46"/>
  <c r="Z140" i="46" s="1" a="1"/>
  <c r="Z140" i="46" s="1"/>
  <c r="U140" i="46"/>
  <c r="AA140" i="46" s="1" a="1"/>
  <c r="AA140" i="46" s="1"/>
  <c r="Q141" i="46"/>
  <c r="W141" i="46" s="1" a="1"/>
  <c r="W141" i="46" s="1"/>
  <c r="R141" i="46"/>
  <c r="X141" i="46" s="1" a="1"/>
  <c r="X141" i="46" s="1"/>
  <c r="S141" i="46"/>
  <c r="Y141" i="46" s="1" a="1"/>
  <c r="Y141" i="46" s="1"/>
  <c r="T141" i="46"/>
  <c r="Z141" i="46" s="1" a="1"/>
  <c r="Z141" i="46" s="1"/>
  <c r="U141" i="46"/>
  <c r="AA141" i="46" s="1" a="1"/>
  <c r="AA141" i="46" s="1"/>
  <c r="Q142" i="46"/>
  <c r="W142" i="46" s="1" a="1"/>
  <c r="W142" i="46" s="1"/>
  <c r="R142" i="46"/>
  <c r="X142" i="46" s="1" a="1"/>
  <c r="X142" i="46" s="1"/>
  <c r="S142" i="46"/>
  <c r="Y142" i="46" s="1" a="1"/>
  <c r="Y142" i="46" s="1"/>
  <c r="T142" i="46"/>
  <c r="Z142" i="46" s="1" a="1"/>
  <c r="Z142" i="46" s="1"/>
  <c r="U142" i="46"/>
  <c r="AA142" i="46" s="1" a="1"/>
  <c r="AA142" i="46" s="1"/>
  <c r="Q143" i="46"/>
  <c r="W143" i="46" s="1" a="1"/>
  <c r="W143" i="46" s="1"/>
  <c r="R143" i="46"/>
  <c r="X143" i="46" s="1" a="1"/>
  <c r="X143" i="46" s="1"/>
  <c r="S143" i="46"/>
  <c r="Y143" i="46" s="1" a="1"/>
  <c r="Y143" i="46" s="1"/>
  <c r="T143" i="46"/>
  <c r="Z143" i="46" s="1" a="1"/>
  <c r="Z143" i="46" s="1"/>
  <c r="U143" i="46"/>
  <c r="AA143" i="46" s="1" a="1"/>
  <c r="AA143" i="46" s="1"/>
  <c r="Q144" i="46"/>
  <c r="W144" i="46" s="1" a="1"/>
  <c r="W144" i="46" s="1"/>
  <c r="R144" i="46"/>
  <c r="X144" i="46" s="1" a="1"/>
  <c r="X144" i="46" s="1"/>
  <c r="S144" i="46"/>
  <c r="Y144" i="46" s="1" a="1"/>
  <c r="Y144" i="46" s="1"/>
  <c r="T144" i="46"/>
  <c r="Z144" i="46" s="1" a="1"/>
  <c r="Z144" i="46" s="1"/>
  <c r="U144" i="46"/>
  <c r="AA144" i="46" s="1" a="1"/>
  <c r="AA144" i="46" s="1"/>
  <c r="Q145" i="46"/>
  <c r="W145" i="46" s="1" a="1"/>
  <c r="W145" i="46" s="1"/>
  <c r="R145" i="46"/>
  <c r="X145" i="46" s="1" a="1"/>
  <c r="X145" i="46" s="1"/>
  <c r="S145" i="46"/>
  <c r="Y145" i="46" s="1" a="1"/>
  <c r="Y145" i="46" s="1"/>
  <c r="T145" i="46"/>
  <c r="Z145" i="46" s="1" a="1"/>
  <c r="Z145" i="46" s="1"/>
  <c r="U145" i="46"/>
  <c r="AA145" i="46" s="1" a="1"/>
  <c r="AA145" i="46" s="1"/>
  <c r="Q146" i="46"/>
  <c r="W146" i="46" s="1" a="1"/>
  <c r="W146" i="46" s="1"/>
  <c r="R146" i="46"/>
  <c r="X146" i="46" s="1" a="1"/>
  <c r="X146" i="46" s="1"/>
  <c r="S146" i="46"/>
  <c r="Y146" i="46" s="1" a="1"/>
  <c r="Y146" i="46" s="1"/>
  <c r="T146" i="46"/>
  <c r="Z146" i="46" s="1" a="1"/>
  <c r="Z146" i="46" s="1"/>
  <c r="U146" i="46"/>
  <c r="AA146" i="46" s="1" a="1"/>
  <c r="AA146" i="46" s="1"/>
  <c r="Q147" i="46"/>
  <c r="W147" i="46" s="1" a="1"/>
  <c r="W147" i="46" s="1"/>
  <c r="R147" i="46"/>
  <c r="X147" i="46" s="1" a="1"/>
  <c r="X147" i="46" s="1"/>
  <c r="S147" i="46"/>
  <c r="Y147" i="46" s="1" a="1"/>
  <c r="Y147" i="46" s="1"/>
  <c r="T147" i="46"/>
  <c r="Z147" i="46" s="1" a="1"/>
  <c r="Z147" i="46" s="1"/>
  <c r="U147" i="46"/>
  <c r="AA147" i="46" s="1" a="1"/>
  <c r="AA147" i="46" s="1"/>
  <c r="Q148" i="46"/>
  <c r="W148" i="46" s="1" a="1"/>
  <c r="W148" i="46" s="1"/>
  <c r="R148" i="46"/>
  <c r="X148" i="46" s="1" a="1"/>
  <c r="X148" i="46" s="1"/>
  <c r="S148" i="46"/>
  <c r="Y148" i="46" s="1" a="1"/>
  <c r="Y148" i="46" s="1"/>
  <c r="T148" i="46"/>
  <c r="Z148" i="46" s="1" a="1"/>
  <c r="Z148" i="46" s="1"/>
  <c r="U148" i="46"/>
  <c r="AA148" i="46" s="1" a="1"/>
  <c r="AA148" i="46" s="1"/>
  <c r="Q149" i="46"/>
  <c r="W149" i="46" s="1" a="1"/>
  <c r="W149" i="46" s="1"/>
  <c r="R149" i="46"/>
  <c r="X149" i="46" s="1" a="1"/>
  <c r="X149" i="46" s="1"/>
  <c r="S149" i="46"/>
  <c r="Y149" i="46" s="1" a="1"/>
  <c r="Y149" i="46" s="1"/>
  <c r="T149" i="46"/>
  <c r="Z149" i="46" s="1" a="1"/>
  <c r="Z149" i="46" s="1"/>
  <c r="U149" i="46"/>
  <c r="AA149" i="46" s="1" a="1"/>
  <c r="AA149" i="46" s="1"/>
  <c r="Q150" i="46"/>
  <c r="W150" i="46" s="1" a="1"/>
  <c r="W150" i="46" s="1"/>
  <c r="R150" i="46"/>
  <c r="X150" i="46" s="1" a="1"/>
  <c r="X150" i="46" s="1"/>
  <c r="S150" i="46"/>
  <c r="Y150" i="46" s="1" a="1"/>
  <c r="Y150" i="46" s="1"/>
  <c r="T150" i="46"/>
  <c r="Z150" i="46" s="1" a="1"/>
  <c r="Z150" i="46" s="1"/>
  <c r="U150" i="46"/>
  <c r="AA150" i="46" s="1" a="1"/>
  <c r="AA150" i="46" s="1"/>
  <c r="Q151" i="46"/>
  <c r="W151" i="46" s="1" a="1"/>
  <c r="W151" i="46" s="1"/>
  <c r="R151" i="46"/>
  <c r="X151" i="46" s="1" a="1"/>
  <c r="X151" i="46" s="1"/>
  <c r="S151" i="46"/>
  <c r="Y151" i="46" s="1" a="1"/>
  <c r="Y151" i="46" s="1"/>
  <c r="T151" i="46"/>
  <c r="Z151" i="46" s="1" a="1"/>
  <c r="Z151" i="46" s="1"/>
  <c r="U151" i="46"/>
  <c r="AA151" i="46" s="1" a="1"/>
  <c r="AA151" i="46" s="1"/>
  <c r="Q152" i="46"/>
  <c r="W152" i="46" s="1" a="1"/>
  <c r="W152" i="46" s="1"/>
  <c r="R152" i="46"/>
  <c r="X152" i="46" s="1" a="1"/>
  <c r="X152" i="46" s="1"/>
  <c r="S152" i="46"/>
  <c r="Y152" i="46" s="1" a="1"/>
  <c r="Y152" i="46" s="1"/>
  <c r="T152" i="46"/>
  <c r="Z152" i="46" s="1" a="1"/>
  <c r="Z152" i="46" s="1"/>
  <c r="U152" i="46"/>
  <c r="AA152" i="46" s="1" a="1"/>
  <c r="AA152" i="46" s="1"/>
  <c r="Q153" i="46"/>
  <c r="W153" i="46" s="1" a="1"/>
  <c r="W153" i="46" s="1"/>
  <c r="R153" i="46"/>
  <c r="X153" i="46" s="1" a="1"/>
  <c r="X153" i="46" s="1"/>
  <c r="S153" i="46"/>
  <c r="Y153" i="46" s="1" a="1"/>
  <c r="Y153" i="46" s="1"/>
  <c r="T153" i="46"/>
  <c r="Z153" i="46" s="1" a="1"/>
  <c r="Z153" i="46" s="1"/>
  <c r="U153" i="46"/>
  <c r="AA153" i="46" s="1" a="1"/>
  <c r="AA153" i="46" s="1"/>
  <c r="Q154" i="46"/>
  <c r="W154" i="46" s="1" a="1"/>
  <c r="W154" i="46" s="1"/>
  <c r="R154" i="46"/>
  <c r="X154" i="46" s="1" a="1"/>
  <c r="X154" i="46" s="1"/>
  <c r="S154" i="46"/>
  <c r="Y154" i="46" s="1" a="1"/>
  <c r="Y154" i="46" s="1"/>
  <c r="T154" i="46"/>
  <c r="Z154" i="46" s="1" a="1"/>
  <c r="Z154" i="46" s="1"/>
  <c r="U154" i="46"/>
  <c r="AA154" i="46" s="1" a="1"/>
  <c r="AA154" i="46" s="1"/>
  <c r="Q155" i="46"/>
  <c r="W155" i="46" s="1" a="1"/>
  <c r="W155" i="46" s="1"/>
  <c r="R155" i="46"/>
  <c r="X155" i="46" s="1" a="1"/>
  <c r="X155" i="46" s="1"/>
  <c r="S155" i="46"/>
  <c r="Y155" i="46" s="1" a="1"/>
  <c r="Y155" i="46" s="1"/>
  <c r="T155" i="46"/>
  <c r="Z155" i="46" s="1" a="1"/>
  <c r="Z155" i="46" s="1"/>
  <c r="U155" i="46"/>
  <c r="AA155" i="46" s="1" a="1"/>
  <c r="AA155" i="46" s="1"/>
  <c r="Q156" i="46"/>
  <c r="W156" i="46" s="1" a="1"/>
  <c r="W156" i="46" s="1"/>
  <c r="R156" i="46"/>
  <c r="X156" i="46" s="1" a="1"/>
  <c r="X156" i="46" s="1"/>
  <c r="S156" i="46"/>
  <c r="Y156" i="46" s="1" a="1"/>
  <c r="Y156" i="46" s="1"/>
  <c r="T156" i="46"/>
  <c r="Z156" i="46" s="1" a="1"/>
  <c r="Z156" i="46" s="1"/>
  <c r="U156" i="46"/>
  <c r="AA156" i="46" s="1" a="1"/>
  <c r="AA156" i="46" s="1"/>
  <c r="Q157" i="46"/>
  <c r="W157" i="46" s="1" a="1"/>
  <c r="W157" i="46" s="1"/>
  <c r="R157" i="46"/>
  <c r="X157" i="46" s="1" a="1"/>
  <c r="X157" i="46" s="1"/>
  <c r="S157" i="46"/>
  <c r="Y157" i="46" s="1" a="1"/>
  <c r="Y157" i="46" s="1"/>
  <c r="T157" i="46"/>
  <c r="Z157" i="46" s="1" a="1"/>
  <c r="Z157" i="46" s="1"/>
  <c r="U157" i="46"/>
  <c r="AA157" i="46" s="1" a="1"/>
  <c r="AA157" i="46" s="1"/>
  <c r="Q158" i="46"/>
  <c r="W158" i="46" s="1" a="1"/>
  <c r="W158" i="46" s="1"/>
  <c r="R158" i="46"/>
  <c r="X158" i="46" s="1" a="1"/>
  <c r="X158" i="46" s="1"/>
  <c r="S158" i="46"/>
  <c r="Y158" i="46" s="1" a="1"/>
  <c r="Y158" i="46" s="1"/>
  <c r="T158" i="46"/>
  <c r="Z158" i="46" s="1" a="1"/>
  <c r="Z158" i="46" s="1"/>
  <c r="U158" i="46"/>
  <c r="AA158" i="46" s="1" a="1"/>
  <c r="AA158" i="46" s="1"/>
  <c r="Q159" i="46"/>
  <c r="W159" i="46" s="1" a="1"/>
  <c r="W159" i="46" s="1"/>
  <c r="R159" i="46"/>
  <c r="X159" i="46" s="1" a="1"/>
  <c r="X159" i="46" s="1"/>
  <c r="S159" i="46"/>
  <c r="Y159" i="46" s="1" a="1"/>
  <c r="Y159" i="46" s="1"/>
  <c r="T159" i="46"/>
  <c r="Z159" i="46" s="1" a="1"/>
  <c r="Z159" i="46" s="1"/>
  <c r="U159" i="46"/>
  <c r="AA159" i="46" s="1" a="1"/>
  <c r="AA159" i="46" s="1"/>
  <c r="Q160" i="46"/>
  <c r="W160" i="46" s="1" a="1"/>
  <c r="W160" i="46" s="1"/>
  <c r="R160" i="46"/>
  <c r="X160" i="46" s="1" a="1"/>
  <c r="X160" i="46" s="1"/>
  <c r="S160" i="46"/>
  <c r="Y160" i="46" s="1" a="1"/>
  <c r="Y160" i="46" s="1"/>
  <c r="T160" i="46"/>
  <c r="Z160" i="46" s="1" a="1"/>
  <c r="Z160" i="46" s="1"/>
  <c r="U160" i="46"/>
  <c r="AA160" i="46" s="1" a="1"/>
  <c r="AA160" i="46" s="1"/>
  <c r="Q161" i="46"/>
  <c r="W161" i="46" s="1" a="1"/>
  <c r="W161" i="46" s="1"/>
  <c r="R161" i="46"/>
  <c r="X161" i="46" s="1" a="1"/>
  <c r="X161" i="46" s="1"/>
  <c r="S161" i="46"/>
  <c r="Y161" i="46" s="1" a="1"/>
  <c r="Y161" i="46" s="1"/>
  <c r="T161" i="46"/>
  <c r="Z161" i="46" s="1" a="1"/>
  <c r="Z161" i="46" s="1"/>
  <c r="U161" i="46"/>
  <c r="AA161" i="46" s="1" a="1"/>
  <c r="AA161" i="46" s="1"/>
  <c r="Q162" i="46"/>
  <c r="W162" i="46" s="1" a="1"/>
  <c r="W162" i="46" s="1"/>
  <c r="R162" i="46"/>
  <c r="X162" i="46" s="1" a="1"/>
  <c r="X162" i="46" s="1"/>
  <c r="S162" i="46"/>
  <c r="Y162" i="46" s="1" a="1"/>
  <c r="Y162" i="46" s="1"/>
  <c r="T162" i="46"/>
  <c r="Z162" i="46" s="1" a="1"/>
  <c r="Z162" i="46" s="1"/>
  <c r="U162" i="46"/>
  <c r="AA162" i="46" s="1" a="1"/>
  <c r="AA162" i="46" s="1"/>
  <c r="Q163" i="46"/>
  <c r="W163" i="46" s="1" a="1"/>
  <c r="W163" i="46" s="1"/>
  <c r="R163" i="46"/>
  <c r="X163" i="46" s="1" a="1"/>
  <c r="X163" i="46" s="1"/>
  <c r="S163" i="46"/>
  <c r="Y163" i="46" s="1" a="1"/>
  <c r="Y163" i="46" s="1"/>
  <c r="T163" i="46"/>
  <c r="Z163" i="46" s="1" a="1"/>
  <c r="Z163" i="46" s="1"/>
  <c r="U163" i="46"/>
  <c r="AA163" i="46" s="1" a="1"/>
  <c r="AA163" i="46" s="1"/>
  <c r="Q164" i="46"/>
  <c r="W164" i="46" s="1" a="1"/>
  <c r="W164" i="46" s="1"/>
  <c r="R164" i="46"/>
  <c r="X164" i="46" s="1" a="1"/>
  <c r="X164" i="46" s="1"/>
  <c r="S164" i="46"/>
  <c r="Y164" i="46" s="1" a="1"/>
  <c r="Y164" i="46" s="1"/>
  <c r="T164" i="46"/>
  <c r="Z164" i="46" s="1" a="1"/>
  <c r="Z164" i="46" s="1"/>
  <c r="U164" i="46"/>
  <c r="AA164" i="46" s="1" a="1"/>
  <c r="AA164" i="46" s="1"/>
  <c r="Q165" i="46"/>
  <c r="W165" i="46" s="1" a="1"/>
  <c r="W165" i="46" s="1"/>
  <c r="R165" i="46"/>
  <c r="X165" i="46" s="1" a="1"/>
  <c r="X165" i="46" s="1"/>
  <c r="S165" i="46"/>
  <c r="Y165" i="46" s="1" a="1"/>
  <c r="Y165" i="46" s="1"/>
  <c r="T165" i="46"/>
  <c r="Z165" i="46" s="1" a="1"/>
  <c r="Z165" i="46" s="1"/>
  <c r="U165" i="46"/>
  <c r="AA165" i="46" s="1" a="1"/>
  <c r="AA165" i="46" s="1"/>
  <c r="Q166" i="46"/>
  <c r="W166" i="46" s="1" a="1"/>
  <c r="W166" i="46" s="1"/>
  <c r="R166" i="46"/>
  <c r="X166" i="46" s="1" a="1"/>
  <c r="X166" i="46" s="1"/>
  <c r="S166" i="46"/>
  <c r="Y166" i="46" s="1" a="1"/>
  <c r="Y166" i="46" s="1"/>
  <c r="T166" i="46"/>
  <c r="Z166" i="46" s="1" a="1"/>
  <c r="Z166" i="46" s="1"/>
  <c r="U166" i="46"/>
  <c r="AA166" i="46" s="1" a="1"/>
  <c r="AA166" i="46" s="1"/>
  <c r="Q167" i="46"/>
  <c r="W167" i="46" s="1" a="1"/>
  <c r="W167" i="46" s="1"/>
  <c r="R167" i="46"/>
  <c r="X167" i="46" s="1" a="1"/>
  <c r="X167" i="46" s="1"/>
  <c r="S167" i="46"/>
  <c r="Y167" i="46" s="1" a="1"/>
  <c r="Y167" i="46" s="1"/>
  <c r="T167" i="46"/>
  <c r="Z167" i="46" s="1" a="1"/>
  <c r="Z167" i="46" s="1"/>
  <c r="U167" i="46"/>
  <c r="AA167" i="46" s="1" a="1"/>
  <c r="AA167" i="46" s="1"/>
  <c r="Q168" i="46"/>
  <c r="W168" i="46" s="1" a="1"/>
  <c r="W168" i="46" s="1"/>
  <c r="R168" i="46"/>
  <c r="X168" i="46" s="1" a="1"/>
  <c r="X168" i="46" s="1"/>
  <c r="S168" i="46"/>
  <c r="Y168" i="46" s="1" a="1"/>
  <c r="Y168" i="46" s="1"/>
  <c r="T168" i="46"/>
  <c r="Z168" i="46" s="1" a="1"/>
  <c r="Z168" i="46" s="1"/>
  <c r="U168" i="46"/>
  <c r="AA168" i="46" s="1" a="1"/>
  <c r="AA168" i="46" s="1"/>
  <c r="Q169" i="46"/>
  <c r="W169" i="46" s="1" a="1"/>
  <c r="W169" i="46" s="1"/>
  <c r="R169" i="46"/>
  <c r="X169" i="46" s="1" a="1"/>
  <c r="X169" i="46" s="1"/>
  <c r="S169" i="46"/>
  <c r="Y169" i="46" s="1" a="1"/>
  <c r="Y169" i="46" s="1"/>
  <c r="T169" i="46"/>
  <c r="Z169" i="46" s="1" a="1"/>
  <c r="Z169" i="46" s="1"/>
  <c r="U169" i="46"/>
  <c r="AA169" i="46" s="1" a="1"/>
  <c r="AA169" i="46" s="1"/>
  <c r="Q170" i="46"/>
  <c r="W170" i="46" s="1" a="1"/>
  <c r="W170" i="46" s="1"/>
  <c r="R170" i="46"/>
  <c r="X170" i="46" s="1" a="1"/>
  <c r="X170" i="46" s="1"/>
  <c r="S170" i="46"/>
  <c r="Y170" i="46" s="1" a="1"/>
  <c r="Y170" i="46" s="1"/>
  <c r="T170" i="46"/>
  <c r="Z170" i="46" s="1" a="1"/>
  <c r="Z170" i="46" s="1"/>
  <c r="U170" i="46"/>
  <c r="AA170" i="46" s="1" a="1"/>
  <c r="AA170" i="46" s="1"/>
  <c r="Q171" i="46"/>
  <c r="W171" i="46" s="1" a="1"/>
  <c r="W171" i="46" s="1"/>
  <c r="R171" i="46"/>
  <c r="X171" i="46" s="1" a="1"/>
  <c r="X171" i="46" s="1"/>
  <c r="S171" i="46"/>
  <c r="Y171" i="46" s="1" a="1"/>
  <c r="Y171" i="46" s="1"/>
  <c r="T171" i="46"/>
  <c r="Z171" i="46" s="1" a="1"/>
  <c r="Z171" i="46" s="1"/>
  <c r="U171" i="46"/>
  <c r="AA171" i="46" s="1" a="1"/>
  <c r="AA171" i="46" s="1"/>
  <c r="Q172" i="46"/>
  <c r="W172" i="46" s="1" a="1"/>
  <c r="W172" i="46" s="1"/>
  <c r="R172" i="46"/>
  <c r="X172" i="46" s="1" a="1"/>
  <c r="X172" i="46" s="1"/>
  <c r="S172" i="46"/>
  <c r="Y172" i="46" s="1" a="1"/>
  <c r="Y172" i="46" s="1"/>
  <c r="T172" i="46"/>
  <c r="Z172" i="46" s="1" a="1"/>
  <c r="Z172" i="46" s="1"/>
  <c r="U172" i="46"/>
  <c r="AA172" i="46" s="1" a="1"/>
  <c r="AA172" i="46" s="1"/>
  <c r="Q173" i="46"/>
  <c r="W173" i="46" s="1" a="1"/>
  <c r="W173" i="46" s="1"/>
  <c r="R173" i="46"/>
  <c r="X173" i="46" s="1" a="1"/>
  <c r="X173" i="46" s="1"/>
  <c r="S173" i="46"/>
  <c r="Y173" i="46" s="1" a="1"/>
  <c r="Y173" i="46" s="1"/>
  <c r="T173" i="46"/>
  <c r="Z173" i="46" s="1" a="1"/>
  <c r="Z173" i="46" s="1"/>
  <c r="U173" i="46"/>
  <c r="AA173" i="46" s="1" a="1"/>
  <c r="AA173" i="46" s="1"/>
  <c r="Q174" i="46"/>
  <c r="W174" i="46" s="1" a="1"/>
  <c r="W174" i="46" s="1"/>
  <c r="R174" i="46"/>
  <c r="X174" i="46" s="1" a="1"/>
  <c r="X174" i="46" s="1"/>
  <c r="S174" i="46"/>
  <c r="Y174" i="46" s="1" a="1"/>
  <c r="Y174" i="46" s="1"/>
  <c r="T174" i="46"/>
  <c r="Z174" i="46" s="1" a="1"/>
  <c r="Z174" i="46" s="1"/>
  <c r="U174" i="46"/>
  <c r="AA174" i="46" s="1" a="1"/>
  <c r="AA174" i="46" s="1"/>
  <c r="Q175" i="46"/>
  <c r="W175" i="46" s="1" a="1"/>
  <c r="W175" i="46" s="1"/>
  <c r="R175" i="46"/>
  <c r="X175" i="46" s="1" a="1"/>
  <c r="X175" i="46" s="1"/>
  <c r="S175" i="46"/>
  <c r="Y175" i="46" s="1" a="1"/>
  <c r="Y175" i="46" s="1"/>
  <c r="T175" i="46"/>
  <c r="Z175" i="46" s="1" a="1"/>
  <c r="Z175" i="46" s="1"/>
  <c r="U175" i="46"/>
  <c r="AA175" i="46" s="1" a="1"/>
  <c r="AA175" i="46" s="1"/>
  <c r="Q176" i="46"/>
  <c r="W176" i="46" s="1" a="1"/>
  <c r="W176" i="46" s="1"/>
  <c r="R176" i="46"/>
  <c r="X176" i="46" s="1" a="1"/>
  <c r="X176" i="46" s="1"/>
  <c r="S176" i="46"/>
  <c r="Y176" i="46" s="1" a="1"/>
  <c r="Y176" i="46" s="1"/>
  <c r="T176" i="46"/>
  <c r="Z176" i="46" s="1" a="1"/>
  <c r="Z176" i="46" s="1"/>
  <c r="U176" i="46"/>
  <c r="AA176" i="46" s="1" a="1"/>
  <c r="AA176" i="46" s="1"/>
  <c r="Q177" i="46"/>
  <c r="W177" i="46" s="1" a="1"/>
  <c r="W177" i="46" s="1"/>
  <c r="R177" i="46"/>
  <c r="X177" i="46" s="1" a="1"/>
  <c r="X177" i="46" s="1"/>
  <c r="S177" i="46"/>
  <c r="Y177" i="46" s="1" a="1"/>
  <c r="Y177" i="46" s="1"/>
  <c r="T177" i="46"/>
  <c r="Z177" i="46" s="1" a="1"/>
  <c r="Z177" i="46" s="1"/>
  <c r="U177" i="46"/>
  <c r="AA177" i="46" s="1" a="1"/>
  <c r="AA177" i="46" s="1"/>
  <c r="Q178" i="46"/>
  <c r="W178" i="46" s="1" a="1"/>
  <c r="W178" i="46" s="1"/>
  <c r="R178" i="46"/>
  <c r="X178" i="46" s="1" a="1"/>
  <c r="X178" i="46" s="1"/>
  <c r="S178" i="46"/>
  <c r="Y178" i="46" s="1" a="1"/>
  <c r="Y178" i="46" s="1"/>
  <c r="T178" i="46"/>
  <c r="Z178" i="46" s="1" a="1"/>
  <c r="Z178" i="46" s="1"/>
  <c r="U178" i="46"/>
  <c r="AA178" i="46" s="1" a="1"/>
  <c r="AA178" i="46" s="1"/>
  <c r="Q179" i="46"/>
  <c r="W179" i="46" s="1" a="1"/>
  <c r="W179" i="46" s="1"/>
  <c r="R179" i="46"/>
  <c r="X179" i="46" s="1" a="1"/>
  <c r="X179" i="46" s="1"/>
  <c r="S179" i="46"/>
  <c r="Y179" i="46" s="1" a="1"/>
  <c r="Y179" i="46" s="1"/>
  <c r="T179" i="46"/>
  <c r="Z179" i="46" s="1" a="1"/>
  <c r="Z179" i="46" s="1"/>
  <c r="U179" i="46"/>
  <c r="AA179" i="46" s="1" a="1"/>
  <c r="AA179" i="46" s="1"/>
  <c r="Q180" i="46"/>
  <c r="W180" i="46" s="1" a="1"/>
  <c r="W180" i="46" s="1"/>
  <c r="R180" i="46"/>
  <c r="X180" i="46" s="1" a="1"/>
  <c r="X180" i="46" s="1"/>
  <c r="S180" i="46"/>
  <c r="Y180" i="46" s="1" a="1"/>
  <c r="Y180" i="46" s="1"/>
  <c r="T180" i="46"/>
  <c r="Z180" i="46" s="1" a="1"/>
  <c r="Z180" i="46" s="1"/>
  <c r="U180" i="46"/>
  <c r="AA180" i="46" s="1" a="1"/>
  <c r="AA180" i="46" s="1"/>
  <c r="Q181" i="46"/>
  <c r="W181" i="46" s="1" a="1"/>
  <c r="W181" i="46" s="1"/>
  <c r="R181" i="46"/>
  <c r="X181" i="46" s="1" a="1"/>
  <c r="X181" i="46" s="1"/>
  <c r="S181" i="46"/>
  <c r="Y181" i="46" s="1" a="1"/>
  <c r="Y181" i="46" s="1"/>
  <c r="T181" i="46"/>
  <c r="Z181" i="46" s="1" a="1"/>
  <c r="Z181" i="46" s="1"/>
  <c r="U181" i="46"/>
  <c r="AA181" i="46" s="1" a="1"/>
  <c r="AA181" i="46" s="1"/>
  <c r="Q182" i="46"/>
  <c r="W182" i="46" s="1" a="1"/>
  <c r="W182" i="46" s="1"/>
  <c r="R182" i="46"/>
  <c r="X182" i="46" s="1" a="1"/>
  <c r="X182" i="46" s="1"/>
  <c r="S182" i="46"/>
  <c r="Y182" i="46" s="1" a="1"/>
  <c r="Y182" i="46" s="1"/>
  <c r="T182" i="46"/>
  <c r="Z182" i="46" s="1" a="1"/>
  <c r="Z182" i="46" s="1"/>
  <c r="U182" i="46"/>
  <c r="AA182" i="46" s="1" a="1"/>
  <c r="AA182" i="46" s="1"/>
  <c r="Q183" i="46"/>
  <c r="W183" i="46" s="1" a="1"/>
  <c r="W183" i="46" s="1"/>
  <c r="R183" i="46"/>
  <c r="X183" i="46" s="1" a="1"/>
  <c r="X183" i="46" s="1"/>
  <c r="S183" i="46"/>
  <c r="Y183" i="46" s="1" a="1"/>
  <c r="Y183" i="46" s="1"/>
  <c r="T183" i="46"/>
  <c r="Z183" i="46" s="1" a="1"/>
  <c r="Z183" i="46" s="1"/>
  <c r="U183" i="46"/>
  <c r="AA183" i="46" s="1" a="1"/>
  <c r="AA183" i="46" s="1"/>
  <c r="Q184" i="46"/>
  <c r="W184" i="46" s="1" a="1"/>
  <c r="W184" i="46" s="1"/>
  <c r="R184" i="46"/>
  <c r="X184" i="46" s="1" a="1"/>
  <c r="X184" i="46" s="1"/>
  <c r="S184" i="46"/>
  <c r="Y184" i="46" s="1" a="1"/>
  <c r="Y184" i="46" s="1"/>
  <c r="T184" i="46"/>
  <c r="Z184" i="46" s="1" a="1"/>
  <c r="Z184" i="46" s="1"/>
  <c r="U184" i="46"/>
  <c r="AA184" i="46" s="1" a="1"/>
  <c r="AA184" i="46" s="1"/>
  <c r="Q185" i="46"/>
  <c r="W185" i="46" s="1" a="1"/>
  <c r="W185" i="46" s="1"/>
  <c r="R185" i="46"/>
  <c r="X185" i="46" s="1" a="1"/>
  <c r="X185" i="46" s="1"/>
  <c r="S185" i="46"/>
  <c r="Y185" i="46" s="1" a="1"/>
  <c r="Y185" i="46" s="1"/>
  <c r="T185" i="46"/>
  <c r="Z185" i="46" s="1" a="1"/>
  <c r="Z185" i="46" s="1"/>
  <c r="U185" i="46"/>
  <c r="AA185" i="46" s="1" a="1"/>
  <c r="AA185" i="46" s="1"/>
  <c r="Q186" i="46"/>
  <c r="W186" i="46" s="1" a="1"/>
  <c r="W186" i="46" s="1"/>
  <c r="R186" i="46"/>
  <c r="X186" i="46" s="1" a="1"/>
  <c r="X186" i="46" s="1"/>
  <c r="S186" i="46"/>
  <c r="Y186" i="46" s="1" a="1"/>
  <c r="Y186" i="46" s="1"/>
  <c r="T186" i="46"/>
  <c r="Z186" i="46" s="1" a="1"/>
  <c r="Z186" i="46" s="1"/>
  <c r="U186" i="46"/>
  <c r="AA186" i="46" s="1" a="1"/>
  <c r="AA186" i="46" s="1"/>
  <c r="Q187" i="46"/>
  <c r="W187" i="46" s="1" a="1"/>
  <c r="W187" i="46" s="1"/>
  <c r="R187" i="46"/>
  <c r="X187" i="46" s="1" a="1"/>
  <c r="X187" i="46" s="1"/>
  <c r="S187" i="46"/>
  <c r="Y187" i="46" s="1" a="1"/>
  <c r="Y187" i="46" s="1"/>
  <c r="T187" i="46"/>
  <c r="Z187" i="46" s="1" a="1"/>
  <c r="Z187" i="46" s="1"/>
  <c r="U187" i="46"/>
  <c r="AA187" i="46" s="1" a="1"/>
  <c r="AA187" i="46" s="1"/>
  <c r="Q188" i="46"/>
  <c r="W188" i="46" s="1" a="1"/>
  <c r="W188" i="46" s="1"/>
  <c r="R188" i="46"/>
  <c r="X188" i="46" s="1" a="1"/>
  <c r="X188" i="46" s="1"/>
  <c r="S188" i="46"/>
  <c r="Y188" i="46" s="1" a="1"/>
  <c r="Y188" i="46" s="1"/>
  <c r="T188" i="46"/>
  <c r="Z188" i="46" s="1" a="1"/>
  <c r="Z188" i="46" s="1"/>
  <c r="U188" i="46"/>
  <c r="AA188" i="46" s="1" a="1"/>
  <c r="AA188" i="46" s="1"/>
  <c r="Q189" i="46"/>
  <c r="W189" i="46" s="1" a="1"/>
  <c r="W189" i="46" s="1"/>
  <c r="R189" i="46"/>
  <c r="X189" i="46" s="1" a="1"/>
  <c r="X189" i="46" s="1"/>
  <c r="S189" i="46"/>
  <c r="Y189" i="46" s="1" a="1"/>
  <c r="Y189" i="46" s="1"/>
  <c r="T189" i="46"/>
  <c r="Z189" i="46" s="1" a="1"/>
  <c r="Z189" i="46" s="1"/>
  <c r="U189" i="46"/>
  <c r="AA189" i="46" s="1" a="1"/>
  <c r="AA189" i="46" s="1"/>
  <c r="Q190" i="46"/>
  <c r="W190" i="46" s="1" a="1"/>
  <c r="W190" i="46" s="1"/>
  <c r="R190" i="46"/>
  <c r="X190" i="46" s="1" a="1"/>
  <c r="X190" i="46" s="1"/>
  <c r="S190" i="46"/>
  <c r="Y190" i="46" s="1" a="1"/>
  <c r="Y190" i="46" s="1"/>
  <c r="T190" i="46"/>
  <c r="Z190" i="46" s="1" a="1"/>
  <c r="Z190" i="46" s="1"/>
  <c r="U190" i="46"/>
  <c r="AA190" i="46" s="1" a="1"/>
  <c r="AA190" i="46" s="1"/>
  <c r="Q191" i="46"/>
  <c r="W191" i="46" s="1" a="1"/>
  <c r="W191" i="46" s="1"/>
  <c r="R191" i="46"/>
  <c r="X191" i="46" s="1" a="1"/>
  <c r="X191" i="46" s="1"/>
  <c r="S191" i="46"/>
  <c r="Y191" i="46" s="1" a="1"/>
  <c r="Y191" i="46" s="1"/>
  <c r="T191" i="46"/>
  <c r="Z191" i="46" s="1" a="1"/>
  <c r="Z191" i="46" s="1"/>
  <c r="U191" i="46"/>
  <c r="AA191" i="46" s="1" a="1"/>
  <c r="AA191" i="46" s="1"/>
  <c r="Q192" i="46"/>
  <c r="W192" i="46" s="1" a="1"/>
  <c r="W192" i="46" s="1"/>
  <c r="R192" i="46"/>
  <c r="X192" i="46" s="1" a="1"/>
  <c r="X192" i="46" s="1"/>
  <c r="S192" i="46"/>
  <c r="Y192" i="46" s="1" a="1"/>
  <c r="Y192" i="46" s="1"/>
  <c r="T192" i="46"/>
  <c r="Z192" i="46" s="1" a="1"/>
  <c r="Z192" i="46" s="1"/>
  <c r="U192" i="46"/>
  <c r="AA192" i="46" s="1" a="1"/>
  <c r="AA192" i="46" s="1"/>
  <c r="Q193" i="46"/>
  <c r="W193" i="46" s="1" a="1"/>
  <c r="W193" i="46" s="1"/>
  <c r="R193" i="46"/>
  <c r="X193" i="46" s="1" a="1"/>
  <c r="X193" i="46" s="1"/>
  <c r="S193" i="46"/>
  <c r="Y193" i="46" s="1" a="1"/>
  <c r="Y193" i="46" s="1"/>
  <c r="T193" i="46"/>
  <c r="Z193" i="46" s="1" a="1"/>
  <c r="Z193" i="46" s="1"/>
  <c r="U193" i="46"/>
  <c r="AA193" i="46" s="1" a="1"/>
  <c r="AA193" i="46" s="1"/>
  <c r="Q194" i="46"/>
  <c r="W194" i="46" s="1" a="1"/>
  <c r="W194" i="46" s="1"/>
  <c r="R194" i="46"/>
  <c r="X194" i="46" s="1" a="1"/>
  <c r="X194" i="46" s="1"/>
  <c r="S194" i="46"/>
  <c r="Y194" i="46" s="1" a="1"/>
  <c r="Y194" i="46" s="1"/>
  <c r="T194" i="46"/>
  <c r="Z194" i="46" s="1" a="1"/>
  <c r="Z194" i="46" s="1"/>
  <c r="U194" i="46"/>
  <c r="AA194" i="46" s="1" a="1"/>
  <c r="AA194" i="46" s="1"/>
  <c r="Q195" i="46"/>
  <c r="W195" i="46" s="1" a="1"/>
  <c r="W195" i="46" s="1"/>
  <c r="R195" i="46"/>
  <c r="X195" i="46" s="1" a="1"/>
  <c r="X195" i="46" s="1"/>
  <c r="S195" i="46"/>
  <c r="Y195" i="46" s="1" a="1"/>
  <c r="Y195" i="46" s="1"/>
  <c r="T195" i="46"/>
  <c r="Z195" i="46" s="1" a="1"/>
  <c r="Z195" i="46" s="1"/>
  <c r="U195" i="46"/>
  <c r="AA195" i="46" s="1" a="1"/>
  <c r="AA195" i="46" s="1"/>
  <c r="Q196" i="46"/>
  <c r="W196" i="46" s="1" a="1"/>
  <c r="W196" i="46" s="1"/>
  <c r="R196" i="46"/>
  <c r="X196" i="46" s="1" a="1"/>
  <c r="X196" i="46" s="1"/>
  <c r="S196" i="46"/>
  <c r="Y196" i="46" s="1" a="1"/>
  <c r="Y196" i="46" s="1"/>
  <c r="T196" i="46"/>
  <c r="Z196" i="46" s="1" a="1"/>
  <c r="Z196" i="46" s="1"/>
  <c r="U196" i="46"/>
  <c r="AA196" i="46" s="1" a="1"/>
  <c r="AA196" i="46" s="1"/>
  <c r="Q197" i="46"/>
  <c r="W197" i="46" s="1" a="1"/>
  <c r="W197" i="46" s="1"/>
  <c r="R197" i="46"/>
  <c r="X197" i="46" s="1" a="1"/>
  <c r="X197" i="46" s="1"/>
  <c r="S197" i="46"/>
  <c r="Y197" i="46" s="1" a="1"/>
  <c r="Y197" i="46" s="1"/>
  <c r="T197" i="46"/>
  <c r="Z197" i="46" s="1" a="1"/>
  <c r="Z197" i="46" s="1"/>
  <c r="U197" i="46"/>
  <c r="AA197" i="46" s="1" a="1"/>
  <c r="AA197" i="46" s="1"/>
  <c r="Q198" i="46"/>
  <c r="W198" i="46" s="1" a="1"/>
  <c r="W198" i="46" s="1"/>
  <c r="R198" i="46"/>
  <c r="X198" i="46" s="1" a="1"/>
  <c r="X198" i="46" s="1"/>
  <c r="S198" i="46"/>
  <c r="Y198" i="46" s="1" a="1"/>
  <c r="Y198" i="46" s="1"/>
  <c r="T198" i="46"/>
  <c r="Z198" i="46" s="1" a="1"/>
  <c r="Z198" i="46" s="1"/>
  <c r="U198" i="46"/>
  <c r="AA198" i="46" s="1" a="1"/>
  <c r="AA198" i="46" s="1"/>
  <c r="Q199" i="46"/>
  <c r="W199" i="46" s="1" a="1"/>
  <c r="W199" i="46" s="1"/>
  <c r="R199" i="46"/>
  <c r="X199" i="46" s="1" a="1"/>
  <c r="X199" i="46" s="1"/>
  <c r="S199" i="46"/>
  <c r="Y199" i="46" s="1" a="1"/>
  <c r="Y199" i="46" s="1"/>
  <c r="T199" i="46"/>
  <c r="Z199" i="46" s="1" a="1"/>
  <c r="Z199" i="46" s="1"/>
  <c r="U199" i="46"/>
  <c r="AA199" i="46" s="1" a="1"/>
  <c r="AA199" i="46" s="1"/>
  <c r="Q200" i="46"/>
  <c r="W200" i="46" s="1" a="1"/>
  <c r="W200" i="46" s="1"/>
  <c r="R200" i="46"/>
  <c r="X200" i="46" s="1" a="1"/>
  <c r="X200" i="46" s="1"/>
  <c r="S200" i="46"/>
  <c r="Y200" i="46" s="1" a="1"/>
  <c r="Y200" i="46" s="1"/>
  <c r="T200" i="46"/>
  <c r="Z200" i="46" s="1" a="1"/>
  <c r="Z200" i="46" s="1"/>
  <c r="U200" i="46"/>
  <c r="AA200" i="46" s="1" a="1"/>
  <c r="AA200" i="46" s="1"/>
  <c r="Q201" i="46"/>
  <c r="W201" i="46" s="1" a="1"/>
  <c r="W201" i="46" s="1"/>
  <c r="R201" i="46"/>
  <c r="X201" i="46" s="1" a="1"/>
  <c r="X201" i="46" s="1"/>
  <c r="S201" i="46"/>
  <c r="Y201" i="46" s="1" a="1"/>
  <c r="Y201" i="46" s="1"/>
  <c r="T201" i="46"/>
  <c r="Z201" i="46" s="1" a="1"/>
  <c r="Z201" i="46" s="1"/>
  <c r="U201" i="46"/>
  <c r="AA201" i="46" s="1" a="1"/>
  <c r="AA201" i="46" s="1"/>
  <c r="Q202" i="46"/>
  <c r="W202" i="46" s="1" a="1"/>
  <c r="W202" i="46" s="1"/>
  <c r="R202" i="46"/>
  <c r="X202" i="46" s="1" a="1"/>
  <c r="X202" i="46" s="1"/>
  <c r="S202" i="46"/>
  <c r="Y202" i="46" s="1" a="1"/>
  <c r="Y202" i="46" s="1"/>
  <c r="T202" i="46"/>
  <c r="Z202" i="46" s="1" a="1"/>
  <c r="Z202" i="46" s="1"/>
  <c r="U202" i="46"/>
  <c r="AA202" i="46" s="1" a="1"/>
  <c r="AA202" i="46" s="1"/>
  <c r="Q203" i="46"/>
  <c r="W203" i="46" s="1" a="1"/>
  <c r="W203" i="46" s="1"/>
  <c r="R203" i="46"/>
  <c r="X203" i="46" s="1" a="1"/>
  <c r="X203" i="46" s="1"/>
  <c r="S203" i="46"/>
  <c r="Y203" i="46" s="1" a="1"/>
  <c r="Y203" i="46" s="1"/>
  <c r="T203" i="46"/>
  <c r="Z203" i="46" s="1" a="1"/>
  <c r="Z203" i="46" s="1"/>
  <c r="U203" i="46"/>
  <c r="AA203" i="46" s="1" a="1"/>
  <c r="AA203" i="46" s="1"/>
  <c r="Q204" i="46"/>
  <c r="W204" i="46" s="1" a="1"/>
  <c r="W204" i="46" s="1"/>
  <c r="R204" i="46"/>
  <c r="X204" i="46" s="1" a="1"/>
  <c r="X204" i="46" s="1"/>
  <c r="S204" i="46"/>
  <c r="Y204" i="46" s="1" a="1"/>
  <c r="Y204" i="46" s="1"/>
  <c r="T204" i="46"/>
  <c r="Z204" i="46" s="1" a="1"/>
  <c r="Z204" i="46" s="1"/>
  <c r="U204" i="46"/>
  <c r="AA204" i="46" s="1" a="1"/>
  <c r="AA204" i="46" s="1"/>
  <c r="Q205" i="46"/>
  <c r="W205" i="46" s="1" a="1"/>
  <c r="W205" i="46" s="1"/>
  <c r="R205" i="46"/>
  <c r="X205" i="46" s="1" a="1"/>
  <c r="X205" i="46" s="1"/>
  <c r="S205" i="46"/>
  <c r="Y205" i="46" s="1" a="1"/>
  <c r="Y205" i="46" s="1"/>
  <c r="T205" i="46"/>
  <c r="Z205" i="46" s="1" a="1"/>
  <c r="Z205" i="46" s="1"/>
  <c r="U205" i="46"/>
  <c r="AA205" i="46" s="1" a="1"/>
  <c r="AA205" i="46" s="1"/>
  <c r="Q206" i="46"/>
  <c r="W206" i="46" s="1" a="1"/>
  <c r="W206" i="46" s="1"/>
  <c r="R206" i="46"/>
  <c r="X206" i="46" s="1" a="1"/>
  <c r="X206" i="46" s="1"/>
  <c r="S206" i="46"/>
  <c r="Y206" i="46" s="1" a="1"/>
  <c r="Y206" i="46" s="1"/>
  <c r="T206" i="46"/>
  <c r="Z206" i="46" s="1" a="1"/>
  <c r="Z206" i="46" s="1"/>
  <c r="U206" i="46"/>
  <c r="AA206" i="46" s="1" a="1"/>
  <c r="AA206" i="46" s="1"/>
  <c r="Q207" i="46"/>
  <c r="W207" i="46" s="1" a="1"/>
  <c r="W207" i="46" s="1"/>
  <c r="R207" i="46"/>
  <c r="X207" i="46" s="1" a="1"/>
  <c r="X207" i="46" s="1"/>
  <c r="S207" i="46"/>
  <c r="Y207" i="46" s="1" a="1"/>
  <c r="Y207" i="46" s="1"/>
  <c r="T207" i="46"/>
  <c r="Z207" i="46" s="1" a="1"/>
  <c r="Z207" i="46" s="1"/>
  <c r="U207" i="46"/>
  <c r="AA207" i="46" s="1" a="1"/>
  <c r="AA207" i="46" s="1"/>
  <c r="Q208" i="46"/>
  <c r="W208" i="46" s="1" a="1"/>
  <c r="W208" i="46" s="1"/>
  <c r="R208" i="46"/>
  <c r="X208" i="46" s="1" a="1"/>
  <c r="X208" i="46" s="1"/>
  <c r="S208" i="46"/>
  <c r="Y208" i="46" s="1" a="1"/>
  <c r="Y208" i="46" s="1"/>
  <c r="T208" i="46"/>
  <c r="Z208" i="46" s="1" a="1"/>
  <c r="Z208" i="46" s="1"/>
  <c r="U208" i="46"/>
  <c r="AA208" i="46" s="1" a="1"/>
  <c r="AA208" i="46" s="1"/>
  <c r="Q209" i="46"/>
  <c r="W209" i="46" s="1" a="1"/>
  <c r="W209" i="46" s="1"/>
  <c r="R209" i="46"/>
  <c r="X209" i="46" s="1" a="1"/>
  <c r="X209" i="46" s="1"/>
  <c r="S209" i="46"/>
  <c r="Y209" i="46" s="1" a="1"/>
  <c r="Y209" i="46" s="1"/>
  <c r="T209" i="46"/>
  <c r="Z209" i="46" s="1" a="1"/>
  <c r="Z209" i="46" s="1"/>
  <c r="U209" i="46"/>
  <c r="AA209" i="46" s="1" a="1"/>
  <c r="AA209" i="46" s="1"/>
  <c r="Q210" i="46"/>
  <c r="W210" i="46" s="1" a="1"/>
  <c r="W210" i="46" s="1"/>
  <c r="R210" i="46"/>
  <c r="X210" i="46" s="1" a="1"/>
  <c r="X210" i="46" s="1"/>
  <c r="S210" i="46"/>
  <c r="Y210" i="46" s="1" a="1"/>
  <c r="Y210" i="46" s="1"/>
  <c r="T210" i="46"/>
  <c r="Z210" i="46" s="1" a="1"/>
  <c r="Z210" i="46" s="1"/>
  <c r="U210" i="46"/>
  <c r="AA210" i="46" s="1" a="1"/>
  <c r="AA210" i="46" s="1"/>
  <c r="Q211" i="46"/>
  <c r="W211" i="46" s="1" a="1"/>
  <c r="W211" i="46" s="1"/>
  <c r="R211" i="46"/>
  <c r="X211" i="46" s="1" a="1"/>
  <c r="X211" i="46" s="1"/>
  <c r="S211" i="46"/>
  <c r="Y211" i="46" s="1" a="1"/>
  <c r="Y211" i="46" s="1"/>
  <c r="T211" i="46"/>
  <c r="Z211" i="46" s="1" a="1"/>
  <c r="Z211" i="46" s="1"/>
  <c r="U211" i="46"/>
  <c r="AA211" i="46" s="1" a="1"/>
  <c r="AA211" i="46" s="1"/>
  <c r="Q212" i="46"/>
  <c r="W212" i="46" s="1" a="1"/>
  <c r="W212" i="46" s="1"/>
  <c r="R212" i="46"/>
  <c r="X212" i="46" s="1" a="1"/>
  <c r="X212" i="46" s="1"/>
  <c r="S212" i="46"/>
  <c r="Y212" i="46" s="1" a="1"/>
  <c r="Y212" i="46" s="1"/>
  <c r="T212" i="46"/>
  <c r="Z212" i="46" s="1" a="1"/>
  <c r="Z212" i="46" s="1"/>
  <c r="U212" i="46"/>
  <c r="AA212" i="46" s="1" a="1"/>
  <c r="AA212" i="46" s="1"/>
  <c r="Q213" i="46"/>
  <c r="W213" i="46" s="1" a="1"/>
  <c r="W213" i="46" s="1"/>
  <c r="R213" i="46"/>
  <c r="X213" i="46" s="1" a="1"/>
  <c r="X213" i="46" s="1"/>
  <c r="S213" i="46"/>
  <c r="Y213" i="46" s="1" a="1"/>
  <c r="Y213" i="46" s="1"/>
  <c r="T213" i="46"/>
  <c r="Z213" i="46" s="1" a="1"/>
  <c r="Z213" i="46" s="1"/>
  <c r="U213" i="46"/>
  <c r="AA213" i="46" s="1" a="1"/>
  <c r="AA213" i="46" s="1"/>
  <c r="Q214" i="46"/>
  <c r="W214" i="46" s="1" a="1"/>
  <c r="W214" i="46" s="1"/>
  <c r="R214" i="46"/>
  <c r="X214" i="46" s="1" a="1"/>
  <c r="X214" i="46" s="1"/>
  <c r="S214" i="46"/>
  <c r="Y214" i="46" s="1" a="1"/>
  <c r="Y214" i="46" s="1"/>
  <c r="T214" i="46"/>
  <c r="Z214" i="46" s="1" a="1"/>
  <c r="Z214" i="46" s="1"/>
  <c r="U214" i="46"/>
  <c r="AA214" i="46" s="1" a="1"/>
  <c r="AA214" i="46" s="1"/>
  <c r="Q215" i="46"/>
  <c r="W215" i="46" s="1" a="1"/>
  <c r="W215" i="46" s="1"/>
  <c r="R215" i="46"/>
  <c r="X215" i="46" s="1" a="1"/>
  <c r="X215" i="46" s="1"/>
  <c r="S215" i="46"/>
  <c r="Y215" i="46" s="1" a="1"/>
  <c r="Y215" i="46" s="1"/>
  <c r="T215" i="46"/>
  <c r="Z215" i="46" s="1" a="1"/>
  <c r="Z215" i="46" s="1"/>
  <c r="U215" i="46"/>
  <c r="AA215" i="46" s="1" a="1"/>
  <c r="AA215" i="46" s="1"/>
  <c r="Q216" i="46"/>
  <c r="W216" i="46" s="1" a="1"/>
  <c r="W216" i="46" s="1"/>
  <c r="R216" i="46"/>
  <c r="X216" i="46" s="1" a="1"/>
  <c r="X216" i="46" s="1"/>
  <c r="S216" i="46"/>
  <c r="Y216" i="46" s="1" a="1"/>
  <c r="Y216" i="46" s="1"/>
  <c r="T216" i="46"/>
  <c r="Z216" i="46" s="1" a="1"/>
  <c r="Z216" i="46" s="1"/>
  <c r="U216" i="46"/>
  <c r="AA216" i="46" s="1" a="1"/>
  <c r="AA216" i="46" s="1"/>
  <c r="Q217" i="46"/>
  <c r="W217" i="46" s="1" a="1"/>
  <c r="W217" i="46" s="1"/>
  <c r="R217" i="46"/>
  <c r="X217" i="46" s="1" a="1"/>
  <c r="X217" i="46" s="1"/>
  <c r="S217" i="46"/>
  <c r="Y217" i="46" s="1" a="1"/>
  <c r="Y217" i="46" s="1"/>
  <c r="T217" i="46"/>
  <c r="Z217" i="46" s="1" a="1"/>
  <c r="Z217" i="46" s="1"/>
  <c r="U217" i="46"/>
  <c r="AA217" i="46" s="1" a="1"/>
  <c r="AA217" i="46" s="1"/>
  <c r="Q218" i="46"/>
  <c r="W218" i="46" s="1" a="1"/>
  <c r="W218" i="46" s="1"/>
  <c r="R218" i="46"/>
  <c r="X218" i="46" s="1" a="1"/>
  <c r="X218" i="46" s="1"/>
  <c r="S218" i="46"/>
  <c r="Y218" i="46" s="1" a="1"/>
  <c r="Y218" i="46" s="1"/>
  <c r="T218" i="46"/>
  <c r="Z218" i="46" s="1" a="1"/>
  <c r="Z218" i="46" s="1"/>
  <c r="U218" i="46"/>
  <c r="AA218" i="46" s="1" a="1"/>
  <c r="AA218" i="46" s="1"/>
  <c r="Q219" i="46"/>
  <c r="W219" i="46" s="1" a="1"/>
  <c r="W219" i="46" s="1"/>
  <c r="R219" i="46"/>
  <c r="X219" i="46" s="1" a="1"/>
  <c r="X219" i="46" s="1"/>
  <c r="S219" i="46"/>
  <c r="Y219" i="46" s="1" a="1"/>
  <c r="Y219" i="46" s="1"/>
  <c r="T219" i="46"/>
  <c r="Z219" i="46" s="1" a="1"/>
  <c r="Z219" i="46" s="1"/>
  <c r="U219" i="46"/>
  <c r="AA219" i="46" s="1" a="1"/>
  <c r="AA219" i="46" s="1"/>
  <c r="Q220" i="46"/>
  <c r="W220" i="46" s="1" a="1"/>
  <c r="W220" i="46" s="1"/>
  <c r="R220" i="46"/>
  <c r="X220" i="46" s="1" a="1"/>
  <c r="X220" i="46" s="1"/>
  <c r="S220" i="46"/>
  <c r="Y220" i="46" s="1" a="1"/>
  <c r="Y220" i="46" s="1"/>
  <c r="T220" i="46"/>
  <c r="Z220" i="46" s="1" a="1"/>
  <c r="Z220" i="46" s="1"/>
  <c r="U220" i="46"/>
  <c r="AA220" i="46" s="1" a="1"/>
  <c r="AA220" i="46" s="1"/>
  <c r="Q221" i="46"/>
  <c r="W221" i="46" s="1" a="1"/>
  <c r="W221" i="46" s="1"/>
  <c r="R221" i="46"/>
  <c r="X221" i="46" s="1" a="1"/>
  <c r="X221" i="46" s="1"/>
  <c r="S221" i="46"/>
  <c r="Y221" i="46" s="1" a="1"/>
  <c r="Y221" i="46" s="1"/>
  <c r="T221" i="46"/>
  <c r="Z221" i="46" s="1" a="1"/>
  <c r="Z221" i="46" s="1"/>
  <c r="U221" i="46"/>
  <c r="AA221" i="46" s="1" a="1"/>
  <c r="AA221" i="46" s="1"/>
  <c r="Q222" i="46"/>
  <c r="W222" i="46" s="1" a="1"/>
  <c r="W222" i="46" s="1"/>
  <c r="R222" i="46"/>
  <c r="X222" i="46" s="1" a="1"/>
  <c r="X222" i="46" s="1"/>
  <c r="S222" i="46"/>
  <c r="Y222" i="46" s="1" a="1"/>
  <c r="Y222" i="46" s="1"/>
  <c r="T222" i="46"/>
  <c r="Z222" i="46" s="1" a="1"/>
  <c r="Z222" i="46" s="1"/>
  <c r="U222" i="46"/>
  <c r="AA222" i="46" s="1" a="1"/>
  <c r="AA222" i="46" s="1"/>
  <c r="Q223" i="46"/>
  <c r="W223" i="46" s="1" a="1"/>
  <c r="W223" i="46" s="1"/>
  <c r="R223" i="46"/>
  <c r="X223" i="46" s="1" a="1"/>
  <c r="X223" i="46" s="1"/>
  <c r="S223" i="46"/>
  <c r="Y223" i="46" s="1" a="1"/>
  <c r="Y223" i="46" s="1"/>
  <c r="T223" i="46"/>
  <c r="Z223" i="46" s="1" a="1"/>
  <c r="Z223" i="46" s="1"/>
  <c r="U223" i="46"/>
  <c r="AA223" i="46" s="1" a="1"/>
  <c r="AA223" i="46" s="1"/>
  <c r="Q224" i="46"/>
  <c r="W224" i="46" s="1" a="1"/>
  <c r="W224" i="46" s="1"/>
  <c r="R224" i="46"/>
  <c r="X224" i="46" s="1" a="1"/>
  <c r="X224" i="46" s="1"/>
  <c r="S224" i="46"/>
  <c r="Y224" i="46" s="1" a="1"/>
  <c r="Y224" i="46" s="1"/>
  <c r="T224" i="46"/>
  <c r="Z224" i="46" s="1" a="1"/>
  <c r="Z224" i="46" s="1"/>
  <c r="U224" i="46"/>
  <c r="AA224" i="46" s="1" a="1"/>
  <c r="AA224" i="46" s="1"/>
  <c r="Q225" i="46"/>
  <c r="W225" i="46" s="1" a="1"/>
  <c r="W225" i="46" s="1"/>
  <c r="R225" i="46"/>
  <c r="X225" i="46" s="1" a="1"/>
  <c r="X225" i="46" s="1"/>
  <c r="S225" i="46"/>
  <c r="Y225" i="46" s="1" a="1"/>
  <c r="Y225" i="46" s="1"/>
  <c r="T225" i="46"/>
  <c r="Z225" i="46" s="1" a="1"/>
  <c r="Z225" i="46" s="1"/>
  <c r="U225" i="46"/>
  <c r="AA225" i="46" s="1" a="1"/>
  <c r="AA225" i="46" s="1"/>
  <c r="Q226" i="46"/>
  <c r="W226" i="46" s="1" a="1"/>
  <c r="W226" i="46" s="1"/>
  <c r="R226" i="46"/>
  <c r="X226" i="46" s="1" a="1"/>
  <c r="X226" i="46" s="1"/>
  <c r="S226" i="46"/>
  <c r="Y226" i="46" s="1" a="1"/>
  <c r="Y226" i="46" s="1"/>
  <c r="T226" i="46"/>
  <c r="Z226" i="46" s="1" a="1"/>
  <c r="Z226" i="46" s="1"/>
  <c r="U226" i="46"/>
  <c r="AA226" i="46" s="1" a="1"/>
  <c r="AA226" i="46" s="1"/>
  <c r="Q227" i="46"/>
  <c r="W227" i="46" s="1" a="1"/>
  <c r="W227" i="46" s="1"/>
  <c r="R227" i="46"/>
  <c r="X227" i="46" s="1" a="1"/>
  <c r="X227" i="46" s="1"/>
  <c r="S227" i="46"/>
  <c r="Y227" i="46" s="1" a="1"/>
  <c r="Y227" i="46" s="1"/>
  <c r="T227" i="46"/>
  <c r="Z227" i="46" s="1" a="1"/>
  <c r="Z227" i="46" s="1"/>
  <c r="U227" i="46"/>
  <c r="AA227" i="46" s="1" a="1"/>
  <c r="AA227" i="46" s="1"/>
  <c r="Q228" i="46"/>
  <c r="W228" i="46" s="1" a="1"/>
  <c r="W228" i="46" s="1"/>
  <c r="R228" i="46"/>
  <c r="X228" i="46" s="1" a="1"/>
  <c r="X228" i="46" s="1"/>
  <c r="S228" i="46"/>
  <c r="Y228" i="46" s="1" a="1"/>
  <c r="Y228" i="46" s="1"/>
  <c r="T228" i="46"/>
  <c r="Z228" i="46" s="1" a="1"/>
  <c r="Z228" i="46" s="1"/>
  <c r="U228" i="46"/>
  <c r="AA228" i="46" s="1" a="1"/>
  <c r="AA228" i="46" s="1"/>
  <c r="Q229" i="46"/>
  <c r="W229" i="46" s="1" a="1"/>
  <c r="W229" i="46" s="1"/>
  <c r="R229" i="46"/>
  <c r="X229" i="46" s="1" a="1"/>
  <c r="X229" i="46" s="1"/>
  <c r="S229" i="46"/>
  <c r="Y229" i="46" s="1" a="1"/>
  <c r="Y229" i="46" s="1"/>
  <c r="T229" i="46"/>
  <c r="Z229" i="46" s="1" a="1"/>
  <c r="Z229" i="46" s="1"/>
  <c r="U229" i="46"/>
  <c r="AA229" i="46" s="1" a="1"/>
  <c r="AA229" i="46" s="1"/>
  <c r="Q230" i="46"/>
  <c r="W230" i="46" s="1" a="1"/>
  <c r="W230" i="46" s="1"/>
  <c r="R230" i="46"/>
  <c r="X230" i="46" s="1" a="1"/>
  <c r="X230" i="46" s="1"/>
  <c r="S230" i="46"/>
  <c r="Y230" i="46" s="1" a="1"/>
  <c r="Y230" i="46" s="1"/>
  <c r="T230" i="46"/>
  <c r="Z230" i="46" s="1" a="1"/>
  <c r="Z230" i="46" s="1"/>
  <c r="U230" i="46"/>
  <c r="AA230" i="46" s="1" a="1"/>
  <c r="AA230" i="46" s="1"/>
  <c r="Q231" i="46"/>
  <c r="W231" i="46" s="1" a="1"/>
  <c r="W231" i="46" s="1"/>
  <c r="R231" i="46"/>
  <c r="X231" i="46" s="1" a="1"/>
  <c r="X231" i="46" s="1"/>
  <c r="S231" i="46"/>
  <c r="Y231" i="46" s="1" a="1"/>
  <c r="Y231" i="46" s="1"/>
  <c r="T231" i="46"/>
  <c r="Z231" i="46" s="1" a="1"/>
  <c r="Z231" i="46" s="1"/>
  <c r="U231" i="46"/>
  <c r="AA231" i="46" s="1" a="1"/>
  <c r="AA231" i="46" s="1"/>
  <c r="Q232" i="46"/>
  <c r="W232" i="46" s="1" a="1"/>
  <c r="W232" i="46" s="1"/>
  <c r="R232" i="46"/>
  <c r="X232" i="46" s="1" a="1"/>
  <c r="X232" i="46" s="1"/>
  <c r="S232" i="46"/>
  <c r="Y232" i="46" s="1" a="1"/>
  <c r="Y232" i="46" s="1"/>
  <c r="T232" i="46"/>
  <c r="Z232" i="46" s="1" a="1"/>
  <c r="Z232" i="46" s="1"/>
  <c r="U232" i="46"/>
  <c r="AA232" i="46" s="1" a="1"/>
  <c r="AA232" i="46" s="1"/>
  <c r="Q233" i="46"/>
  <c r="W233" i="46" s="1" a="1"/>
  <c r="W233" i="46" s="1"/>
  <c r="R233" i="46"/>
  <c r="X233" i="46" s="1" a="1"/>
  <c r="X233" i="46" s="1"/>
  <c r="S233" i="46"/>
  <c r="Y233" i="46" s="1" a="1"/>
  <c r="Y233" i="46" s="1"/>
  <c r="T233" i="46"/>
  <c r="Z233" i="46" s="1" a="1"/>
  <c r="Z233" i="46" s="1"/>
  <c r="U233" i="46"/>
  <c r="AA233" i="46" s="1" a="1"/>
  <c r="AA233" i="46" s="1"/>
  <c r="Q234" i="46"/>
  <c r="W234" i="46" s="1" a="1"/>
  <c r="W234" i="46" s="1"/>
  <c r="R234" i="46"/>
  <c r="X234" i="46" s="1" a="1"/>
  <c r="X234" i="46" s="1"/>
  <c r="S234" i="46"/>
  <c r="Y234" i="46" s="1" a="1"/>
  <c r="Y234" i="46" s="1"/>
  <c r="T234" i="46"/>
  <c r="Z234" i="46" s="1" a="1"/>
  <c r="Z234" i="46" s="1"/>
  <c r="U234" i="46"/>
  <c r="AA234" i="46" s="1" a="1"/>
  <c r="AA234" i="46" s="1"/>
  <c r="Q235" i="46"/>
  <c r="W235" i="46" s="1" a="1"/>
  <c r="W235" i="46" s="1"/>
  <c r="R235" i="46"/>
  <c r="X235" i="46" s="1" a="1"/>
  <c r="X235" i="46" s="1"/>
  <c r="S235" i="46"/>
  <c r="Y235" i="46" s="1" a="1"/>
  <c r="Y235" i="46" s="1"/>
  <c r="T235" i="46"/>
  <c r="Z235" i="46" s="1" a="1"/>
  <c r="Z235" i="46" s="1"/>
  <c r="U235" i="46"/>
  <c r="AA235" i="46" s="1" a="1"/>
  <c r="AA235" i="46" s="1"/>
  <c r="Q236" i="46"/>
  <c r="W236" i="46" s="1" a="1"/>
  <c r="W236" i="46" s="1"/>
  <c r="R236" i="46"/>
  <c r="X236" i="46" s="1" a="1"/>
  <c r="X236" i="46" s="1"/>
  <c r="S236" i="46"/>
  <c r="Y236" i="46" s="1" a="1"/>
  <c r="Y236" i="46" s="1"/>
  <c r="T236" i="46"/>
  <c r="Z236" i="46" s="1" a="1"/>
  <c r="Z236" i="46" s="1"/>
  <c r="U236" i="46"/>
  <c r="AA236" i="46" s="1" a="1"/>
  <c r="AA236" i="46" s="1"/>
  <c r="Q237" i="46"/>
  <c r="W237" i="46" s="1" a="1"/>
  <c r="W237" i="46" s="1"/>
  <c r="R237" i="46"/>
  <c r="X237" i="46" s="1" a="1"/>
  <c r="X237" i="46" s="1"/>
  <c r="S237" i="46"/>
  <c r="Y237" i="46" s="1" a="1"/>
  <c r="Y237" i="46" s="1"/>
  <c r="T237" i="46"/>
  <c r="Z237" i="46" s="1" a="1"/>
  <c r="Z237" i="46" s="1"/>
  <c r="U237" i="46"/>
  <c r="AA237" i="46" s="1" a="1"/>
  <c r="AA237" i="46" s="1"/>
  <c r="Q238" i="46"/>
  <c r="W238" i="46" s="1" a="1"/>
  <c r="W238" i="46" s="1"/>
  <c r="R238" i="46"/>
  <c r="X238" i="46" s="1" a="1"/>
  <c r="X238" i="46" s="1"/>
  <c r="S238" i="46"/>
  <c r="Y238" i="46" s="1" a="1"/>
  <c r="Y238" i="46" s="1"/>
  <c r="T238" i="46"/>
  <c r="Z238" i="46" s="1" a="1"/>
  <c r="Z238" i="46" s="1"/>
  <c r="U238" i="46"/>
  <c r="AA238" i="46" s="1" a="1"/>
  <c r="AA238" i="46" s="1"/>
  <c r="Q239" i="46"/>
  <c r="W239" i="46" s="1" a="1"/>
  <c r="W239" i="46" s="1"/>
  <c r="R239" i="46"/>
  <c r="X239" i="46" s="1" a="1"/>
  <c r="X239" i="46" s="1"/>
  <c r="S239" i="46"/>
  <c r="Y239" i="46" s="1" a="1"/>
  <c r="Y239" i="46" s="1"/>
  <c r="T239" i="46"/>
  <c r="Z239" i="46" s="1" a="1"/>
  <c r="Z239" i="46" s="1"/>
  <c r="U239" i="46"/>
  <c r="AA239" i="46" s="1" a="1"/>
  <c r="AA239" i="46" s="1"/>
  <c r="Q240" i="46"/>
  <c r="W240" i="46" s="1" a="1"/>
  <c r="W240" i="46" s="1"/>
  <c r="R240" i="46"/>
  <c r="X240" i="46" s="1" a="1"/>
  <c r="X240" i="46" s="1"/>
  <c r="S240" i="46"/>
  <c r="Y240" i="46" s="1" a="1"/>
  <c r="Y240" i="46" s="1"/>
  <c r="T240" i="46"/>
  <c r="Z240" i="46" s="1" a="1"/>
  <c r="Z240" i="46" s="1"/>
  <c r="U240" i="46"/>
  <c r="AA240" i="46" s="1" a="1"/>
  <c r="AA240" i="46" s="1"/>
  <c r="Q241" i="46"/>
  <c r="W241" i="46" s="1" a="1"/>
  <c r="W241" i="46" s="1"/>
  <c r="R241" i="46"/>
  <c r="X241" i="46" s="1" a="1"/>
  <c r="X241" i="46" s="1"/>
  <c r="S241" i="46"/>
  <c r="Y241" i="46" s="1" a="1"/>
  <c r="Y241" i="46" s="1"/>
  <c r="T241" i="46"/>
  <c r="Z241" i="46" s="1" a="1"/>
  <c r="Z241" i="46" s="1"/>
  <c r="U241" i="46"/>
  <c r="AA241" i="46" s="1" a="1"/>
  <c r="AA241" i="46" s="1"/>
  <c r="Q242" i="46"/>
  <c r="W242" i="46" s="1" a="1"/>
  <c r="W242" i="46" s="1"/>
  <c r="R242" i="46"/>
  <c r="X242" i="46" s="1" a="1"/>
  <c r="X242" i="46" s="1"/>
  <c r="S242" i="46"/>
  <c r="Y242" i="46" s="1" a="1"/>
  <c r="Y242" i="46" s="1"/>
  <c r="T242" i="46"/>
  <c r="Z242" i="46" s="1" a="1"/>
  <c r="Z242" i="46" s="1"/>
  <c r="U242" i="46"/>
  <c r="AA242" i="46" s="1" a="1"/>
  <c r="AA242" i="46" s="1"/>
  <c r="Q243" i="46"/>
  <c r="W243" i="46" s="1" a="1"/>
  <c r="W243" i="46" s="1"/>
  <c r="R243" i="46"/>
  <c r="X243" i="46" s="1" a="1"/>
  <c r="X243" i="46" s="1"/>
  <c r="S243" i="46"/>
  <c r="Y243" i="46" s="1" a="1"/>
  <c r="Y243" i="46" s="1"/>
  <c r="T243" i="46"/>
  <c r="Z243" i="46" s="1" a="1"/>
  <c r="Z243" i="46" s="1"/>
  <c r="U243" i="46"/>
  <c r="AA243" i="46" s="1" a="1"/>
  <c r="AA243" i="46" s="1"/>
  <c r="Q244" i="46"/>
  <c r="W244" i="46" s="1" a="1"/>
  <c r="W244" i="46" s="1"/>
  <c r="R244" i="46"/>
  <c r="X244" i="46" s="1" a="1"/>
  <c r="X244" i="46" s="1"/>
  <c r="S244" i="46"/>
  <c r="Y244" i="46" s="1" a="1"/>
  <c r="Y244" i="46" s="1"/>
  <c r="T244" i="46"/>
  <c r="Z244" i="46" s="1" a="1"/>
  <c r="Z244" i="46" s="1"/>
  <c r="U244" i="46"/>
  <c r="AA244" i="46" s="1" a="1"/>
  <c r="AA244" i="46" s="1"/>
  <c r="Q245" i="46"/>
  <c r="W245" i="46" s="1" a="1"/>
  <c r="W245" i="46" s="1"/>
  <c r="R245" i="46"/>
  <c r="X245" i="46" s="1" a="1"/>
  <c r="X245" i="46" s="1"/>
  <c r="S245" i="46"/>
  <c r="Y245" i="46" s="1" a="1"/>
  <c r="Y245" i="46" s="1"/>
  <c r="T245" i="46"/>
  <c r="Z245" i="46" s="1" a="1"/>
  <c r="Z245" i="46" s="1"/>
  <c r="U245" i="46"/>
  <c r="AA245" i="46" s="1" a="1"/>
  <c r="AA245" i="46" s="1"/>
  <c r="Q246" i="46"/>
  <c r="W246" i="46" s="1" a="1"/>
  <c r="W246" i="46" s="1"/>
  <c r="R246" i="46"/>
  <c r="X246" i="46" s="1" a="1"/>
  <c r="X246" i="46" s="1"/>
  <c r="S246" i="46"/>
  <c r="Y246" i="46" s="1" a="1"/>
  <c r="Y246" i="46" s="1"/>
  <c r="T246" i="46"/>
  <c r="Z246" i="46" s="1" a="1"/>
  <c r="Z246" i="46" s="1"/>
  <c r="U246" i="46"/>
  <c r="AA246" i="46" s="1" a="1"/>
  <c r="AA246" i="46" s="1"/>
  <c r="Q247" i="46"/>
  <c r="W247" i="46" s="1" a="1"/>
  <c r="W247" i="46" s="1"/>
  <c r="R247" i="46"/>
  <c r="X247" i="46" s="1" a="1"/>
  <c r="X247" i="46" s="1"/>
  <c r="S247" i="46"/>
  <c r="Y247" i="46" s="1" a="1"/>
  <c r="Y247" i="46" s="1"/>
  <c r="T247" i="46"/>
  <c r="Z247" i="46" s="1" a="1"/>
  <c r="Z247" i="46" s="1"/>
  <c r="U247" i="46"/>
  <c r="AA247" i="46" s="1" a="1"/>
  <c r="AA247" i="46" s="1"/>
  <c r="Q248" i="46"/>
  <c r="W248" i="46" s="1" a="1"/>
  <c r="W248" i="46" s="1"/>
  <c r="R248" i="46"/>
  <c r="X248" i="46" s="1" a="1"/>
  <c r="X248" i="46" s="1"/>
  <c r="S248" i="46"/>
  <c r="Y248" i="46" s="1" a="1"/>
  <c r="Y248" i="46" s="1"/>
  <c r="T248" i="46"/>
  <c r="Z248" i="46" s="1" a="1"/>
  <c r="Z248" i="46" s="1"/>
  <c r="U248" i="46"/>
  <c r="AA248" i="46" s="1" a="1"/>
  <c r="AA248" i="46" s="1"/>
  <c r="Q249" i="46"/>
  <c r="W249" i="46" s="1" a="1"/>
  <c r="W249" i="46" s="1"/>
  <c r="R249" i="46"/>
  <c r="X249" i="46" s="1" a="1"/>
  <c r="X249" i="46" s="1"/>
  <c r="S249" i="46"/>
  <c r="Y249" i="46" s="1" a="1"/>
  <c r="Y249" i="46" s="1"/>
  <c r="T249" i="46"/>
  <c r="Z249" i="46" s="1" a="1"/>
  <c r="Z249" i="46" s="1"/>
  <c r="U249" i="46"/>
  <c r="AA249" i="46" s="1" a="1"/>
  <c r="AA249" i="46" s="1"/>
  <c r="Q250" i="46"/>
  <c r="W250" i="46" s="1" a="1"/>
  <c r="W250" i="46" s="1"/>
  <c r="R250" i="46"/>
  <c r="X250" i="46" s="1" a="1"/>
  <c r="X250" i="46" s="1"/>
  <c r="S250" i="46"/>
  <c r="Y250" i="46" s="1" a="1"/>
  <c r="Y250" i="46" s="1"/>
  <c r="T250" i="46"/>
  <c r="Z250" i="46" s="1" a="1"/>
  <c r="Z250" i="46" s="1"/>
  <c r="U250" i="46"/>
  <c r="AA250" i="46" s="1" a="1"/>
  <c r="AA250" i="46" s="1"/>
  <c r="Q251" i="46"/>
  <c r="W251" i="46" s="1" a="1"/>
  <c r="W251" i="46" s="1"/>
  <c r="R251" i="46"/>
  <c r="X251" i="46" s="1" a="1"/>
  <c r="X251" i="46" s="1"/>
  <c r="S251" i="46"/>
  <c r="Y251" i="46" s="1" a="1"/>
  <c r="Y251" i="46" s="1"/>
  <c r="T251" i="46"/>
  <c r="Z251" i="46" s="1" a="1"/>
  <c r="Z251" i="46" s="1"/>
  <c r="U251" i="46"/>
  <c r="AA251" i="46" s="1" a="1"/>
  <c r="AA251" i="46" s="1"/>
  <c r="Q252" i="46"/>
  <c r="W252" i="46" s="1" a="1"/>
  <c r="W252" i="46" s="1"/>
  <c r="R252" i="46"/>
  <c r="X252" i="46" s="1" a="1"/>
  <c r="X252" i="46" s="1"/>
  <c r="S252" i="46"/>
  <c r="Y252" i="46" s="1" a="1"/>
  <c r="Y252" i="46" s="1"/>
  <c r="T252" i="46"/>
  <c r="Z252" i="46" s="1" a="1"/>
  <c r="Z252" i="46" s="1"/>
  <c r="U252" i="46"/>
  <c r="AA252" i="46" s="1" a="1"/>
  <c r="AA252" i="46" s="1"/>
  <c r="Q253" i="46"/>
  <c r="W253" i="46" s="1" a="1"/>
  <c r="W253" i="46" s="1"/>
  <c r="R253" i="46"/>
  <c r="X253" i="46" s="1" a="1"/>
  <c r="X253" i="46" s="1"/>
  <c r="S253" i="46"/>
  <c r="Y253" i="46" s="1" a="1"/>
  <c r="Y253" i="46" s="1"/>
  <c r="T253" i="46"/>
  <c r="Z253" i="46" s="1" a="1"/>
  <c r="Z253" i="46" s="1"/>
  <c r="U253" i="46"/>
  <c r="AA253" i="46" s="1" a="1"/>
  <c r="AA253" i="46" s="1"/>
  <c r="Q254" i="46"/>
  <c r="W254" i="46" s="1" a="1"/>
  <c r="W254" i="46" s="1"/>
  <c r="R254" i="46"/>
  <c r="X254" i="46" s="1" a="1"/>
  <c r="X254" i="46" s="1"/>
  <c r="S254" i="46"/>
  <c r="Y254" i="46" s="1" a="1"/>
  <c r="Y254" i="46" s="1"/>
  <c r="T254" i="46"/>
  <c r="Z254" i="46" s="1" a="1"/>
  <c r="Z254" i="46" s="1"/>
  <c r="U254" i="46"/>
  <c r="AA254" i="46" s="1" a="1"/>
  <c r="AA254" i="46" s="1"/>
  <c r="Q255" i="46"/>
  <c r="W255" i="46" s="1" a="1"/>
  <c r="W255" i="46" s="1"/>
  <c r="R255" i="46"/>
  <c r="X255" i="46" s="1" a="1"/>
  <c r="X255" i="46" s="1"/>
  <c r="S255" i="46"/>
  <c r="Y255" i="46" s="1" a="1"/>
  <c r="Y255" i="46" s="1"/>
  <c r="T255" i="46"/>
  <c r="Z255" i="46" s="1" a="1"/>
  <c r="Z255" i="46" s="1"/>
  <c r="U255" i="46"/>
  <c r="AA255" i="46" s="1" a="1"/>
  <c r="AA255" i="46" s="1"/>
  <c r="Q256" i="46"/>
  <c r="W256" i="46" s="1" a="1"/>
  <c r="W256" i="46" s="1"/>
  <c r="R256" i="46"/>
  <c r="X256" i="46" s="1" a="1"/>
  <c r="X256" i="46" s="1"/>
  <c r="S256" i="46"/>
  <c r="Y256" i="46" s="1" a="1"/>
  <c r="Y256" i="46" s="1"/>
  <c r="T256" i="46"/>
  <c r="Z256" i="46" s="1" a="1"/>
  <c r="Z256" i="46" s="1"/>
  <c r="U256" i="46"/>
  <c r="AA256" i="46" s="1" a="1"/>
  <c r="AA256" i="46" s="1"/>
  <c r="Q257" i="46"/>
  <c r="W257" i="46" s="1" a="1"/>
  <c r="W257" i="46" s="1"/>
  <c r="R257" i="46"/>
  <c r="X257" i="46" s="1" a="1"/>
  <c r="X257" i="46" s="1"/>
  <c r="S257" i="46"/>
  <c r="Y257" i="46" s="1" a="1"/>
  <c r="Y257" i="46" s="1"/>
  <c r="T257" i="46"/>
  <c r="Z257" i="46" s="1" a="1"/>
  <c r="Z257" i="46" s="1"/>
  <c r="U257" i="46"/>
  <c r="AA257" i="46" s="1" a="1"/>
  <c r="AA257" i="46" s="1"/>
  <c r="Q258" i="46"/>
  <c r="W258" i="46" s="1" a="1"/>
  <c r="W258" i="46" s="1"/>
  <c r="R258" i="46"/>
  <c r="X258" i="46" s="1" a="1"/>
  <c r="X258" i="46" s="1"/>
  <c r="S258" i="46"/>
  <c r="Y258" i="46" s="1" a="1"/>
  <c r="Y258" i="46" s="1"/>
  <c r="T258" i="46"/>
  <c r="Z258" i="46" s="1" a="1"/>
  <c r="Z258" i="46" s="1"/>
  <c r="U258" i="46"/>
  <c r="AA258" i="46" s="1" a="1"/>
  <c r="AA258" i="46" s="1"/>
  <c r="Q259" i="46"/>
  <c r="W259" i="46" s="1" a="1"/>
  <c r="W259" i="46" s="1"/>
  <c r="R259" i="46"/>
  <c r="X259" i="46" s="1" a="1"/>
  <c r="X259" i="46" s="1"/>
  <c r="S259" i="46"/>
  <c r="Y259" i="46" s="1" a="1"/>
  <c r="Y259" i="46" s="1"/>
  <c r="T259" i="46"/>
  <c r="Z259" i="46" s="1" a="1"/>
  <c r="Z259" i="46" s="1"/>
  <c r="U259" i="46"/>
  <c r="AA259" i="46" s="1" a="1"/>
  <c r="AA259" i="46" s="1"/>
  <c r="Q260" i="46"/>
  <c r="W260" i="46" s="1" a="1"/>
  <c r="W260" i="46" s="1"/>
  <c r="R260" i="46"/>
  <c r="X260" i="46" s="1" a="1"/>
  <c r="X260" i="46" s="1"/>
  <c r="S260" i="46"/>
  <c r="Y260" i="46" s="1" a="1"/>
  <c r="Y260" i="46" s="1"/>
  <c r="T260" i="46"/>
  <c r="Z260" i="46" s="1" a="1"/>
  <c r="Z260" i="46" s="1"/>
  <c r="U260" i="46"/>
  <c r="AA260" i="46" s="1" a="1"/>
  <c r="AA260" i="46" s="1"/>
  <c r="Q261" i="46"/>
  <c r="W261" i="46" s="1" a="1"/>
  <c r="W261" i="46" s="1"/>
  <c r="R261" i="46"/>
  <c r="X261" i="46" s="1" a="1"/>
  <c r="X261" i="46" s="1"/>
  <c r="S261" i="46"/>
  <c r="Y261" i="46" s="1" a="1"/>
  <c r="Y261" i="46" s="1"/>
  <c r="T261" i="46"/>
  <c r="Z261" i="46" s="1" a="1"/>
  <c r="Z261" i="46" s="1"/>
  <c r="U261" i="46"/>
  <c r="AA261" i="46" s="1" a="1"/>
  <c r="AA261" i="46" s="1"/>
  <c r="Q262" i="46"/>
  <c r="W262" i="46" s="1" a="1"/>
  <c r="W262" i="46" s="1"/>
  <c r="R262" i="46"/>
  <c r="X262" i="46" s="1" a="1"/>
  <c r="X262" i="46" s="1"/>
  <c r="S262" i="46"/>
  <c r="Y262" i="46" s="1" a="1"/>
  <c r="Y262" i="46" s="1"/>
  <c r="T262" i="46"/>
  <c r="Z262" i="46" s="1" a="1"/>
  <c r="Z262" i="46" s="1"/>
  <c r="U262" i="46"/>
  <c r="AA262" i="46" s="1" a="1"/>
  <c r="AA262" i="46" s="1"/>
  <c r="Q263" i="46"/>
  <c r="W263" i="46" s="1" a="1"/>
  <c r="W263" i="46" s="1"/>
  <c r="R263" i="46"/>
  <c r="X263" i="46" s="1" a="1"/>
  <c r="X263" i="46" s="1"/>
  <c r="S263" i="46"/>
  <c r="Y263" i="46" s="1" a="1"/>
  <c r="Y263" i="46" s="1"/>
  <c r="T263" i="46"/>
  <c r="Z263" i="46" s="1" a="1"/>
  <c r="Z263" i="46" s="1"/>
  <c r="U263" i="46"/>
  <c r="AA263" i="46" s="1" a="1"/>
  <c r="AA263" i="46" s="1"/>
  <c r="Q264" i="46"/>
  <c r="W264" i="46" s="1" a="1"/>
  <c r="W264" i="46" s="1"/>
  <c r="R264" i="46"/>
  <c r="X264" i="46" s="1" a="1"/>
  <c r="X264" i="46" s="1"/>
  <c r="S264" i="46"/>
  <c r="Y264" i="46" s="1" a="1"/>
  <c r="Y264" i="46" s="1"/>
  <c r="T264" i="46"/>
  <c r="Z264" i="46" s="1" a="1"/>
  <c r="Z264" i="46" s="1"/>
  <c r="U264" i="46"/>
  <c r="AA264" i="46" s="1" a="1"/>
  <c r="AA264" i="46" s="1"/>
  <c r="Q265" i="46"/>
  <c r="W265" i="46" s="1" a="1"/>
  <c r="W265" i="46" s="1"/>
  <c r="R265" i="46"/>
  <c r="X265" i="46" s="1" a="1"/>
  <c r="X265" i="46" s="1"/>
  <c r="S265" i="46"/>
  <c r="Y265" i="46" s="1" a="1"/>
  <c r="Y265" i="46" s="1"/>
  <c r="T265" i="46"/>
  <c r="Z265" i="46" s="1" a="1"/>
  <c r="Z265" i="46" s="1"/>
  <c r="U265" i="46"/>
  <c r="AA265" i="46" s="1" a="1"/>
  <c r="AA265" i="46" s="1"/>
  <c r="Q266" i="46"/>
  <c r="W266" i="46" s="1" a="1"/>
  <c r="W266" i="46" s="1"/>
  <c r="R266" i="46"/>
  <c r="X266" i="46" s="1" a="1"/>
  <c r="X266" i="46" s="1"/>
  <c r="S266" i="46"/>
  <c r="Y266" i="46" s="1" a="1"/>
  <c r="Y266" i="46" s="1"/>
  <c r="T266" i="46"/>
  <c r="Z266" i="46" s="1" a="1"/>
  <c r="Z266" i="46" s="1"/>
  <c r="U266" i="46"/>
  <c r="AA266" i="46" s="1" a="1"/>
  <c r="AA266" i="46" s="1"/>
  <c r="Q267" i="46"/>
  <c r="W267" i="46" s="1" a="1"/>
  <c r="W267" i="46" s="1"/>
  <c r="R267" i="46"/>
  <c r="X267" i="46" s="1" a="1"/>
  <c r="X267" i="46" s="1"/>
  <c r="S267" i="46"/>
  <c r="Y267" i="46" s="1" a="1"/>
  <c r="Y267" i="46" s="1"/>
  <c r="T267" i="46"/>
  <c r="Z267" i="46" s="1" a="1"/>
  <c r="Z267" i="46" s="1"/>
  <c r="U267" i="46"/>
  <c r="AA267" i="46" s="1" a="1"/>
  <c r="AA267" i="46" s="1"/>
  <c r="Q268" i="46"/>
  <c r="W268" i="46" s="1" a="1"/>
  <c r="W268" i="46" s="1"/>
  <c r="R268" i="46"/>
  <c r="X268" i="46" s="1" a="1"/>
  <c r="X268" i="46" s="1"/>
  <c r="S268" i="46"/>
  <c r="Y268" i="46" s="1" a="1"/>
  <c r="Y268" i="46" s="1"/>
  <c r="T268" i="46"/>
  <c r="Z268" i="46" s="1" a="1"/>
  <c r="Z268" i="46" s="1"/>
  <c r="U268" i="46"/>
  <c r="AA268" i="46" s="1" a="1"/>
  <c r="AA268" i="46" s="1"/>
  <c r="Q269" i="46"/>
  <c r="W269" i="46" s="1" a="1"/>
  <c r="W269" i="46" s="1"/>
  <c r="R269" i="46"/>
  <c r="X269" i="46" s="1" a="1"/>
  <c r="X269" i="46" s="1"/>
  <c r="S269" i="46"/>
  <c r="Y269" i="46" s="1" a="1"/>
  <c r="Y269" i="46" s="1"/>
  <c r="T269" i="46"/>
  <c r="Z269" i="46" s="1" a="1"/>
  <c r="Z269" i="46" s="1"/>
  <c r="U269" i="46"/>
  <c r="AA269" i="46" s="1" a="1"/>
  <c r="AA269" i="46" s="1"/>
  <c r="Q270" i="46"/>
  <c r="W270" i="46" s="1" a="1"/>
  <c r="W270" i="46" s="1"/>
  <c r="R270" i="46"/>
  <c r="X270" i="46" s="1" a="1"/>
  <c r="X270" i="46" s="1"/>
  <c r="S270" i="46"/>
  <c r="Y270" i="46" s="1" a="1"/>
  <c r="Y270" i="46" s="1"/>
  <c r="T270" i="46"/>
  <c r="Z270" i="46" s="1" a="1"/>
  <c r="Z270" i="46" s="1"/>
  <c r="U270" i="46"/>
  <c r="AA270" i="46" s="1" a="1"/>
  <c r="AA270" i="46" s="1"/>
  <c r="Q271" i="46"/>
  <c r="W271" i="46" s="1" a="1"/>
  <c r="W271" i="46" s="1"/>
  <c r="R271" i="46"/>
  <c r="X271" i="46" s="1" a="1"/>
  <c r="X271" i="46" s="1"/>
  <c r="S271" i="46"/>
  <c r="Y271" i="46" s="1" a="1"/>
  <c r="Y271" i="46" s="1"/>
  <c r="T271" i="46"/>
  <c r="Z271" i="46" s="1" a="1"/>
  <c r="Z271" i="46" s="1"/>
  <c r="U271" i="46"/>
  <c r="AA271" i="46" s="1" a="1"/>
  <c r="AA271" i="46" s="1"/>
  <c r="Q272" i="46"/>
  <c r="W272" i="46" s="1" a="1"/>
  <c r="W272" i="46" s="1"/>
  <c r="R272" i="46"/>
  <c r="X272" i="46" s="1" a="1"/>
  <c r="X272" i="46" s="1"/>
  <c r="S272" i="46"/>
  <c r="Y272" i="46" s="1" a="1"/>
  <c r="Y272" i="46" s="1"/>
  <c r="T272" i="46"/>
  <c r="Z272" i="46" s="1" a="1"/>
  <c r="Z272" i="46" s="1"/>
  <c r="U272" i="46"/>
  <c r="AA272" i="46" s="1" a="1"/>
  <c r="AA272" i="46" s="1"/>
  <c r="Q273" i="46"/>
  <c r="W273" i="46" s="1" a="1"/>
  <c r="W273" i="46" s="1"/>
  <c r="R273" i="46"/>
  <c r="X273" i="46" s="1" a="1"/>
  <c r="X273" i="46" s="1"/>
  <c r="S273" i="46"/>
  <c r="Y273" i="46" s="1" a="1"/>
  <c r="Y273" i="46" s="1"/>
  <c r="T273" i="46"/>
  <c r="Z273" i="46" s="1" a="1"/>
  <c r="Z273" i="46" s="1"/>
  <c r="U273" i="46"/>
  <c r="AA273" i="46" s="1" a="1"/>
  <c r="AA273" i="46" s="1"/>
  <c r="Q274" i="46"/>
  <c r="W274" i="46" s="1" a="1"/>
  <c r="W274" i="46" s="1"/>
  <c r="R274" i="46"/>
  <c r="X274" i="46" s="1" a="1"/>
  <c r="X274" i="46" s="1"/>
  <c r="S274" i="46"/>
  <c r="Y274" i="46" s="1" a="1"/>
  <c r="Y274" i="46" s="1"/>
  <c r="T274" i="46"/>
  <c r="Z274" i="46" s="1" a="1"/>
  <c r="Z274" i="46" s="1"/>
  <c r="U274" i="46"/>
  <c r="AA274" i="46" s="1" a="1"/>
  <c r="AA274" i="46" s="1"/>
  <c r="Q275" i="46"/>
  <c r="W275" i="46" s="1" a="1"/>
  <c r="W275" i="46" s="1"/>
  <c r="R275" i="46"/>
  <c r="X275" i="46" s="1" a="1"/>
  <c r="X275" i="46" s="1"/>
  <c r="S275" i="46"/>
  <c r="Y275" i="46" s="1" a="1"/>
  <c r="Y275" i="46" s="1"/>
  <c r="T275" i="46"/>
  <c r="Z275" i="46" s="1" a="1"/>
  <c r="Z275" i="46" s="1"/>
  <c r="U275" i="46"/>
  <c r="AA275" i="46" s="1" a="1"/>
  <c r="AA275" i="46" s="1"/>
  <c r="Q276" i="46"/>
  <c r="W276" i="46" s="1" a="1"/>
  <c r="W276" i="46" s="1"/>
  <c r="R276" i="46"/>
  <c r="X276" i="46" s="1" a="1"/>
  <c r="X276" i="46" s="1"/>
  <c r="S276" i="46"/>
  <c r="Y276" i="46" s="1" a="1"/>
  <c r="Y276" i="46" s="1"/>
  <c r="T276" i="46"/>
  <c r="Z276" i="46" s="1" a="1"/>
  <c r="Z276" i="46" s="1"/>
  <c r="U276" i="46"/>
  <c r="AA276" i="46" s="1" a="1"/>
  <c r="AA276" i="46" s="1"/>
  <c r="Q277" i="46"/>
  <c r="W277" i="46" s="1" a="1"/>
  <c r="W277" i="46" s="1"/>
  <c r="R277" i="46"/>
  <c r="X277" i="46" s="1" a="1"/>
  <c r="X277" i="46" s="1"/>
  <c r="S277" i="46"/>
  <c r="Y277" i="46" s="1" a="1"/>
  <c r="Y277" i="46" s="1"/>
  <c r="T277" i="46"/>
  <c r="Z277" i="46" s="1" a="1"/>
  <c r="Z277" i="46" s="1"/>
  <c r="U277" i="46"/>
  <c r="AA277" i="46" s="1" a="1"/>
  <c r="AA277" i="46" s="1"/>
  <c r="Q278" i="46"/>
  <c r="W278" i="46" s="1" a="1"/>
  <c r="W278" i="46" s="1"/>
  <c r="R278" i="46"/>
  <c r="X278" i="46" s="1" a="1"/>
  <c r="X278" i="46" s="1"/>
  <c r="S278" i="46"/>
  <c r="Y278" i="46" s="1" a="1"/>
  <c r="Y278" i="46" s="1"/>
  <c r="T278" i="46"/>
  <c r="Z278" i="46" s="1" a="1"/>
  <c r="Z278" i="46" s="1"/>
  <c r="U278" i="46"/>
  <c r="AA278" i="46" s="1" a="1"/>
  <c r="AA278" i="46" s="1"/>
  <c r="Q279" i="46"/>
  <c r="W279" i="46" s="1" a="1"/>
  <c r="W279" i="46" s="1"/>
  <c r="R279" i="46"/>
  <c r="X279" i="46" s="1" a="1"/>
  <c r="X279" i="46" s="1"/>
  <c r="S279" i="46"/>
  <c r="Y279" i="46" s="1" a="1"/>
  <c r="Y279" i="46" s="1"/>
  <c r="T279" i="46"/>
  <c r="Z279" i="46" s="1" a="1"/>
  <c r="Z279" i="46" s="1"/>
  <c r="U279" i="46"/>
  <c r="AA279" i="46" s="1" a="1"/>
  <c r="AA279" i="46" s="1"/>
  <c r="Q280" i="46"/>
  <c r="W280" i="46" s="1" a="1"/>
  <c r="W280" i="46" s="1"/>
  <c r="R280" i="46"/>
  <c r="X280" i="46" s="1" a="1"/>
  <c r="X280" i="46" s="1"/>
  <c r="S280" i="46"/>
  <c r="Y280" i="46" s="1" a="1"/>
  <c r="Y280" i="46" s="1"/>
  <c r="T280" i="46"/>
  <c r="Z280" i="46" s="1" a="1"/>
  <c r="Z280" i="46" s="1"/>
  <c r="U280" i="46"/>
  <c r="AA280" i="46" s="1" a="1"/>
  <c r="AA280" i="46" s="1"/>
  <c r="Q281" i="46"/>
  <c r="W281" i="46" s="1" a="1"/>
  <c r="W281" i="46" s="1"/>
  <c r="R281" i="46"/>
  <c r="X281" i="46" s="1" a="1"/>
  <c r="X281" i="46" s="1"/>
  <c r="S281" i="46"/>
  <c r="Y281" i="46" s="1" a="1"/>
  <c r="Y281" i="46" s="1"/>
  <c r="T281" i="46"/>
  <c r="Z281" i="46" s="1" a="1"/>
  <c r="Z281" i="46" s="1"/>
  <c r="U281" i="46"/>
  <c r="AA281" i="46" s="1" a="1"/>
  <c r="AA281" i="46" s="1"/>
  <c r="Q282" i="46"/>
  <c r="W282" i="46" s="1" a="1"/>
  <c r="W282" i="46" s="1"/>
  <c r="R282" i="46"/>
  <c r="X282" i="46" s="1" a="1"/>
  <c r="X282" i="46" s="1"/>
  <c r="S282" i="46"/>
  <c r="Y282" i="46" s="1" a="1"/>
  <c r="Y282" i="46" s="1"/>
  <c r="T282" i="46"/>
  <c r="Z282" i="46" s="1" a="1"/>
  <c r="Z282" i="46" s="1"/>
  <c r="U282" i="46"/>
  <c r="AA282" i="46" s="1" a="1"/>
  <c r="AA282" i="46" s="1"/>
  <c r="Q283" i="46"/>
  <c r="W283" i="46" s="1" a="1"/>
  <c r="W283" i="46" s="1"/>
  <c r="R283" i="46"/>
  <c r="X283" i="46" s="1" a="1"/>
  <c r="X283" i="46" s="1"/>
  <c r="S283" i="46"/>
  <c r="Y283" i="46" s="1" a="1"/>
  <c r="Y283" i="46" s="1"/>
  <c r="T283" i="46"/>
  <c r="Z283" i="46" s="1" a="1"/>
  <c r="Z283" i="46" s="1"/>
  <c r="U283" i="46"/>
  <c r="AA283" i="46" s="1" a="1"/>
  <c r="AA283" i="46" s="1"/>
  <c r="Q284" i="46"/>
  <c r="W284" i="46" s="1" a="1"/>
  <c r="W284" i="46" s="1"/>
  <c r="R284" i="46"/>
  <c r="X284" i="46" s="1" a="1"/>
  <c r="X284" i="46" s="1"/>
  <c r="S284" i="46"/>
  <c r="Y284" i="46" s="1" a="1"/>
  <c r="Y284" i="46" s="1"/>
  <c r="T284" i="46"/>
  <c r="Z284" i="46" s="1" a="1"/>
  <c r="Z284" i="46" s="1"/>
  <c r="U284" i="46"/>
  <c r="AA284" i="46" s="1" a="1"/>
  <c r="AA284" i="46" s="1"/>
  <c r="Q285" i="46"/>
  <c r="W285" i="46" s="1" a="1"/>
  <c r="W285" i="46" s="1"/>
  <c r="R285" i="46"/>
  <c r="X285" i="46" s="1" a="1"/>
  <c r="X285" i="46" s="1"/>
  <c r="S285" i="46"/>
  <c r="Y285" i="46" s="1" a="1"/>
  <c r="Y285" i="46" s="1"/>
  <c r="T285" i="46"/>
  <c r="Z285" i="46" s="1" a="1"/>
  <c r="Z285" i="46" s="1"/>
  <c r="U285" i="46"/>
  <c r="AA285" i="46" s="1" a="1"/>
  <c r="AA285" i="46" s="1"/>
  <c r="Q286" i="46"/>
  <c r="W286" i="46" s="1" a="1"/>
  <c r="W286" i="46" s="1"/>
  <c r="R286" i="46"/>
  <c r="X286" i="46" s="1" a="1"/>
  <c r="X286" i="46" s="1"/>
  <c r="S286" i="46"/>
  <c r="Y286" i="46" s="1" a="1"/>
  <c r="Y286" i="46" s="1"/>
  <c r="T286" i="46"/>
  <c r="Z286" i="46" s="1" a="1"/>
  <c r="Z286" i="46" s="1"/>
  <c r="U286" i="46"/>
  <c r="AA286" i="46" s="1" a="1"/>
  <c r="AA286" i="46" s="1"/>
  <c r="Q287" i="46"/>
  <c r="W287" i="46" s="1" a="1"/>
  <c r="W287" i="46" s="1"/>
  <c r="R287" i="46"/>
  <c r="X287" i="46" s="1" a="1"/>
  <c r="X287" i="46" s="1"/>
  <c r="S287" i="46"/>
  <c r="Y287" i="46" s="1" a="1"/>
  <c r="Y287" i="46" s="1"/>
  <c r="T287" i="46"/>
  <c r="Z287" i="46" s="1" a="1"/>
  <c r="Z287" i="46" s="1"/>
  <c r="U287" i="46"/>
  <c r="AA287" i="46" s="1" a="1"/>
  <c r="AA287" i="46" s="1"/>
  <c r="Q288" i="46"/>
  <c r="W288" i="46" s="1" a="1"/>
  <c r="W288" i="46" s="1"/>
  <c r="R288" i="46"/>
  <c r="X288" i="46" s="1" a="1"/>
  <c r="X288" i="46" s="1"/>
  <c r="S288" i="46"/>
  <c r="Y288" i="46" s="1" a="1"/>
  <c r="Y288" i="46" s="1"/>
  <c r="T288" i="46"/>
  <c r="Z288" i="46" s="1" a="1"/>
  <c r="Z288" i="46" s="1"/>
  <c r="U288" i="46"/>
  <c r="AA288" i="46" s="1" a="1"/>
  <c r="AA288" i="46" s="1"/>
  <c r="Q289" i="46"/>
  <c r="W289" i="46" s="1" a="1"/>
  <c r="W289" i="46" s="1"/>
  <c r="R289" i="46"/>
  <c r="X289" i="46" s="1" a="1"/>
  <c r="X289" i="46" s="1"/>
  <c r="S289" i="46"/>
  <c r="Y289" i="46" s="1" a="1"/>
  <c r="Y289" i="46" s="1"/>
  <c r="T289" i="46"/>
  <c r="Z289" i="46" s="1" a="1"/>
  <c r="Z289" i="46" s="1"/>
  <c r="U289" i="46"/>
  <c r="AA289" i="46" s="1" a="1"/>
  <c r="AA289" i="46" s="1"/>
  <c r="Q290" i="46"/>
  <c r="W290" i="46" s="1" a="1"/>
  <c r="W290" i="46" s="1"/>
  <c r="R290" i="46"/>
  <c r="X290" i="46" s="1" a="1"/>
  <c r="X290" i="46" s="1"/>
  <c r="S290" i="46"/>
  <c r="Y290" i="46" s="1" a="1"/>
  <c r="Y290" i="46" s="1"/>
  <c r="T290" i="46"/>
  <c r="Z290" i="46" s="1" a="1"/>
  <c r="Z290" i="46" s="1"/>
  <c r="U290" i="46"/>
  <c r="AA290" i="46" s="1" a="1"/>
  <c r="AA290" i="46" s="1"/>
  <c r="Q291" i="46"/>
  <c r="W291" i="46" s="1" a="1"/>
  <c r="W291" i="46" s="1"/>
  <c r="R291" i="46"/>
  <c r="X291" i="46" s="1" a="1"/>
  <c r="X291" i="46" s="1"/>
  <c r="S291" i="46"/>
  <c r="Y291" i="46" s="1" a="1"/>
  <c r="Y291" i="46" s="1"/>
  <c r="T291" i="46"/>
  <c r="Z291" i="46" s="1" a="1"/>
  <c r="Z291" i="46" s="1"/>
  <c r="U291" i="46"/>
  <c r="AA291" i="46" s="1" a="1"/>
  <c r="AA291" i="46" s="1"/>
  <c r="Q292" i="46"/>
  <c r="W292" i="46" s="1" a="1"/>
  <c r="W292" i="46" s="1"/>
  <c r="R292" i="46"/>
  <c r="X292" i="46" s="1" a="1"/>
  <c r="X292" i="46" s="1"/>
  <c r="S292" i="46"/>
  <c r="Y292" i="46" s="1" a="1"/>
  <c r="Y292" i="46" s="1"/>
  <c r="T292" i="46"/>
  <c r="Z292" i="46" s="1" a="1"/>
  <c r="Z292" i="46" s="1"/>
  <c r="U292" i="46"/>
  <c r="AA292" i="46" s="1" a="1"/>
  <c r="AA292" i="46" s="1"/>
  <c r="Q293" i="46"/>
  <c r="W293" i="46" s="1" a="1"/>
  <c r="W293" i="46" s="1"/>
  <c r="R293" i="46"/>
  <c r="X293" i="46" s="1" a="1"/>
  <c r="X293" i="46" s="1"/>
  <c r="S293" i="46"/>
  <c r="Y293" i="46" s="1" a="1"/>
  <c r="Y293" i="46" s="1"/>
  <c r="T293" i="46"/>
  <c r="Z293" i="46" s="1" a="1"/>
  <c r="Z293" i="46" s="1"/>
  <c r="U293" i="46"/>
  <c r="AA293" i="46" s="1" a="1"/>
  <c r="AA293" i="46" s="1"/>
  <c r="Q294" i="46"/>
  <c r="W294" i="46" s="1" a="1"/>
  <c r="W294" i="46" s="1"/>
  <c r="R294" i="46"/>
  <c r="X294" i="46" s="1" a="1"/>
  <c r="X294" i="46" s="1"/>
  <c r="S294" i="46"/>
  <c r="Y294" i="46" s="1" a="1"/>
  <c r="Y294" i="46" s="1"/>
  <c r="T294" i="46"/>
  <c r="Z294" i="46" s="1" a="1"/>
  <c r="Z294" i="46" s="1"/>
  <c r="U294" i="46"/>
  <c r="AA294" i="46" s="1" a="1"/>
  <c r="AA294" i="46" s="1"/>
  <c r="Q295" i="46"/>
  <c r="W295" i="46" s="1" a="1"/>
  <c r="W295" i="46" s="1"/>
  <c r="R295" i="46"/>
  <c r="X295" i="46" s="1" a="1"/>
  <c r="X295" i="46" s="1"/>
  <c r="S295" i="46"/>
  <c r="Y295" i="46" s="1" a="1"/>
  <c r="Y295" i="46" s="1"/>
  <c r="T295" i="46"/>
  <c r="Z295" i="46" s="1" a="1"/>
  <c r="Z295" i="46" s="1"/>
  <c r="U295" i="46"/>
  <c r="AA295" i="46" s="1" a="1"/>
  <c r="AA295" i="46" s="1"/>
  <c r="Q296" i="46"/>
  <c r="W296" i="46" s="1" a="1"/>
  <c r="W296" i="46" s="1"/>
  <c r="R296" i="46"/>
  <c r="X296" i="46" s="1" a="1"/>
  <c r="X296" i="46" s="1"/>
  <c r="S296" i="46"/>
  <c r="Y296" i="46" s="1" a="1"/>
  <c r="Y296" i="46" s="1"/>
  <c r="T296" i="46"/>
  <c r="Z296" i="46" s="1" a="1"/>
  <c r="Z296" i="46" s="1"/>
  <c r="U296" i="46"/>
  <c r="AA296" i="46" s="1" a="1"/>
  <c r="AA296" i="46" s="1"/>
  <c r="Q297" i="46"/>
  <c r="W297" i="46" s="1" a="1"/>
  <c r="W297" i="46" s="1"/>
  <c r="R297" i="46"/>
  <c r="X297" i="46" s="1" a="1"/>
  <c r="X297" i="46" s="1"/>
  <c r="S297" i="46"/>
  <c r="Y297" i="46" s="1" a="1"/>
  <c r="Y297" i="46" s="1"/>
  <c r="T297" i="46"/>
  <c r="Z297" i="46" s="1" a="1"/>
  <c r="Z297" i="46" s="1"/>
  <c r="U297" i="46"/>
  <c r="AA297" i="46" s="1" a="1"/>
  <c r="AA297" i="46" s="1"/>
  <c r="Q298" i="46"/>
  <c r="W298" i="46" s="1" a="1"/>
  <c r="W298" i="46" s="1"/>
  <c r="R298" i="46"/>
  <c r="X298" i="46" s="1" a="1"/>
  <c r="X298" i="46" s="1"/>
  <c r="S298" i="46"/>
  <c r="Y298" i="46" s="1" a="1"/>
  <c r="Y298" i="46" s="1"/>
  <c r="T298" i="46"/>
  <c r="Z298" i="46" s="1" a="1"/>
  <c r="Z298" i="46" s="1"/>
  <c r="U298" i="46"/>
  <c r="AA298" i="46" s="1" a="1"/>
  <c r="AA298" i="46" s="1"/>
  <c r="Q299" i="46"/>
  <c r="W299" i="46" s="1" a="1"/>
  <c r="W299" i="46" s="1"/>
  <c r="R299" i="46"/>
  <c r="X299" i="46" s="1" a="1"/>
  <c r="X299" i="46" s="1"/>
  <c r="S299" i="46"/>
  <c r="Y299" i="46" s="1" a="1"/>
  <c r="Y299" i="46" s="1"/>
  <c r="T299" i="46"/>
  <c r="Z299" i="46" s="1" a="1"/>
  <c r="Z299" i="46" s="1"/>
  <c r="U299" i="46"/>
  <c r="AA299" i="46" s="1" a="1"/>
  <c r="AA299" i="46" s="1"/>
  <c r="Q300" i="46"/>
  <c r="W300" i="46" s="1" a="1"/>
  <c r="W300" i="46" s="1"/>
  <c r="R300" i="46"/>
  <c r="X300" i="46" s="1" a="1"/>
  <c r="X300" i="46" s="1"/>
  <c r="S300" i="46"/>
  <c r="Y300" i="46" s="1" a="1"/>
  <c r="Y300" i="46" s="1"/>
  <c r="T300" i="46"/>
  <c r="Z300" i="46" s="1" a="1"/>
  <c r="Z300" i="46" s="1"/>
  <c r="U300" i="46"/>
  <c r="AA300" i="46" s="1" a="1"/>
  <c r="AA300" i="46" s="1"/>
  <c r="Q301" i="46"/>
  <c r="W301" i="46" s="1" a="1"/>
  <c r="W301" i="46" s="1"/>
  <c r="R301" i="46"/>
  <c r="X301" i="46" s="1" a="1"/>
  <c r="X301" i="46" s="1"/>
  <c r="S301" i="46"/>
  <c r="Y301" i="46" s="1" a="1"/>
  <c r="Y301" i="46" s="1"/>
  <c r="T301" i="46"/>
  <c r="Z301" i="46" s="1" a="1"/>
  <c r="Z301" i="46" s="1"/>
  <c r="U301" i="46"/>
  <c r="AA301" i="46" s="1" a="1"/>
  <c r="AA301" i="46" s="1"/>
  <c r="Q302" i="46"/>
  <c r="W302" i="46" s="1" a="1"/>
  <c r="W302" i="46" s="1"/>
  <c r="R302" i="46"/>
  <c r="X302" i="46" s="1" a="1"/>
  <c r="X302" i="46" s="1"/>
  <c r="S302" i="46"/>
  <c r="Y302" i="46" s="1" a="1"/>
  <c r="Y302" i="46" s="1"/>
  <c r="T302" i="46"/>
  <c r="Z302" i="46" s="1" a="1"/>
  <c r="Z302" i="46" s="1"/>
  <c r="U302" i="46"/>
  <c r="AA302" i="46" s="1" a="1"/>
  <c r="AA302" i="46" s="1"/>
  <c r="Q303" i="46"/>
  <c r="W303" i="46" s="1" a="1"/>
  <c r="W303" i="46" s="1"/>
  <c r="R303" i="46"/>
  <c r="X303" i="46" s="1" a="1"/>
  <c r="X303" i="46" s="1"/>
  <c r="S303" i="46"/>
  <c r="Y303" i="46" s="1" a="1"/>
  <c r="Y303" i="46" s="1"/>
  <c r="T303" i="46"/>
  <c r="Z303" i="46" s="1" a="1"/>
  <c r="Z303" i="46" s="1"/>
  <c r="U303" i="46"/>
  <c r="AA303" i="46" s="1" a="1"/>
  <c r="AA303" i="46" s="1"/>
  <c r="Q304" i="46"/>
  <c r="W304" i="46" s="1" a="1"/>
  <c r="W304" i="46" s="1"/>
  <c r="R304" i="46"/>
  <c r="X304" i="46" s="1" a="1"/>
  <c r="X304" i="46" s="1"/>
  <c r="S304" i="46"/>
  <c r="Y304" i="46" s="1" a="1"/>
  <c r="Y304" i="46" s="1"/>
  <c r="T304" i="46"/>
  <c r="Z304" i="46" s="1" a="1"/>
  <c r="Z304" i="46" s="1"/>
  <c r="U304" i="46"/>
  <c r="AA304" i="46" s="1" a="1"/>
  <c r="AA304" i="46" s="1"/>
  <c r="Q305" i="46"/>
  <c r="W305" i="46" s="1" a="1"/>
  <c r="W305" i="46" s="1"/>
  <c r="R305" i="46"/>
  <c r="X305" i="46" s="1" a="1"/>
  <c r="X305" i="46" s="1"/>
  <c r="S305" i="46"/>
  <c r="Y305" i="46" s="1" a="1"/>
  <c r="Y305" i="46" s="1"/>
  <c r="T305" i="46"/>
  <c r="Z305" i="46" s="1" a="1"/>
  <c r="Z305" i="46" s="1"/>
  <c r="U305" i="46"/>
  <c r="AA305" i="46" s="1" a="1"/>
  <c r="AA305" i="46" s="1"/>
  <c r="Q306" i="46"/>
  <c r="W306" i="46" s="1" a="1"/>
  <c r="W306" i="46" s="1"/>
  <c r="R306" i="46"/>
  <c r="X306" i="46" s="1" a="1"/>
  <c r="X306" i="46" s="1"/>
  <c r="S306" i="46"/>
  <c r="Y306" i="46" s="1" a="1"/>
  <c r="Y306" i="46" s="1"/>
  <c r="T306" i="46"/>
  <c r="Z306" i="46" s="1" a="1"/>
  <c r="Z306" i="46" s="1"/>
  <c r="U306" i="46"/>
  <c r="AA306" i="46" s="1" a="1"/>
  <c r="AA306" i="46" s="1"/>
  <c r="Q307" i="46"/>
  <c r="W307" i="46" s="1" a="1"/>
  <c r="W307" i="46" s="1"/>
  <c r="R307" i="46"/>
  <c r="X307" i="46" s="1" a="1"/>
  <c r="X307" i="46" s="1"/>
  <c r="S307" i="46"/>
  <c r="Y307" i="46" s="1" a="1"/>
  <c r="Y307" i="46" s="1"/>
  <c r="T307" i="46"/>
  <c r="Z307" i="46" s="1" a="1"/>
  <c r="Z307" i="46" s="1"/>
  <c r="U307" i="46"/>
  <c r="AA307" i="46" s="1" a="1"/>
  <c r="AA307" i="46" s="1"/>
  <c r="Q308" i="46"/>
  <c r="W308" i="46" s="1" a="1"/>
  <c r="W308" i="46" s="1"/>
  <c r="R308" i="46"/>
  <c r="X308" i="46" s="1" a="1"/>
  <c r="X308" i="46" s="1"/>
  <c r="S308" i="46"/>
  <c r="Y308" i="46" s="1" a="1"/>
  <c r="Y308" i="46" s="1"/>
  <c r="T308" i="46"/>
  <c r="Z308" i="46" s="1" a="1"/>
  <c r="Z308" i="46" s="1"/>
  <c r="U308" i="46"/>
  <c r="AA308" i="46" s="1" a="1"/>
  <c r="AA308" i="46" s="1"/>
  <c r="Q309" i="46"/>
  <c r="W309" i="46" s="1" a="1"/>
  <c r="W309" i="46" s="1"/>
  <c r="R309" i="46"/>
  <c r="X309" i="46" s="1" a="1"/>
  <c r="X309" i="46" s="1"/>
  <c r="S309" i="46"/>
  <c r="Y309" i="46" s="1" a="1"/>
  <c r="Y309" i="46" s="1"/>
  <c r="T309" i="46"/>
  <c r="Z309" i="46" s="1" a="1"/>
  <c r="Z309" i="46" s="1"/>
  <c r="U309" i="46"/>
  <c r="AA309" i="46" s="1" a="1"/>
  <c r="AA309" i="46" s="1"/>
  <c r="Q310" i="46"/>
  <c r="W310" i="46" s="1" a="1"/>
  <c r="W310" i="46" s="1"/>
  <c r="R310" i="46"/>
  <c r="X310" i="46" s="1" a="1"/>
  <c r="X310" i="46" s="1"/>
  <c r="S310" i="46"/>
  <c r="Y310" i="46" s="1" a="1"/>
  <c r="Y310" i="46" s="1"/>
  <c r="T310" i="46"/>
  <c r="Z310" i="46" s="1" a="1"/>
  <c r="Z310" i="46" s="1"/>
  <c r="U310" i="46"/>
  <c r="AA310" i="46" s="1" a="1"/>
  <c r="AA310" i="46" s="1"/>
  <c r="Q311" i="46"/>
  <c r="W311" i="46" s="1" a="1"/>
  <c r="W311" i="46" s="1"/>
  <c r="R311" i="46"/>
  <c r="X311" i="46" s="1" a="1"/>
  <c r="X311" i="46" s="1"/>
  <c r="S311" i="46"/>
  <c r="Y311" i="46" s="1" a="1"/>
  <c r="Y311" i="46" s="1"/>
  <c r="T311" i="46"/>
  <c r="Z311" i="46" s="1" a="1"/>
  <c r="Z311" i="46" s="1"/>
  <c r="U311" i="46"/>
  <c r="AA311" i="46" s="1" a="1"/>
  <c r="AA311" i="46" s="1"/>
  <c r="Q312" i="46"/>
  <c r="W312" i="46" s="1" a="1"/>
  <c r="W312" i="46" s="1"/>
  <c r="R312" i="46"/>
  <c r="X312" i="46" s="1" a="1"/>
  <c r="X312" i="46" s="1"/>
  <c r="S312" i="46"/>
  <c r="Y312" i="46" s="1" a="1"/>
  <c r="Y312" i="46" s="1"/>
  <c r="T312" i="46"/>
  <c r="Z312" i="46" s="1" a="1"/>
  <c r="Z312" i="46" s="1"/>
  <c r="U312" i="46"/>
  <c r="AA312" i="46" s="1" a="1"/>
  <c r="AA312" i="46" s="1"/>
  <c r="Q313" i="46"/>
  <c r="W313" i="46" s="1" a="1"/>
  <c r="W313" i="46" s="1"/>
  <c r="R313" i="46"/>
  <c r="X313" i="46" s="1" a="1"/>
  <c r="X313" i="46" s="1"/>
  <c r="S313" i="46"/>
  <c r="Y313" i="46" s="1" a="1"/>
  <c r="Y313" i="46" s="1"/>
  <c r="T313" i="46"/>
  <c r="Z313" i="46" s="1" a="1"/>
  <c r="Z313" i="46" s="1"/>
  <c r="U313" i="46"/>
  <c r="AA313" i="46" s="1" a="1"/>
  <c r="AA313" i="46" s="1"/>
  <c r="Q314" i="46"/>
  <c r="W314" i="46" s="1" a="1"/>
  <c r="W314" i="46" s="1"/>
  <c r="R314" i="46"/>
  <c r="X314" i="46" s="1" a="1"/>
  <c r="X314" i="46" s="1"/>
  <c r="S314" i="46"/>
  <c r="Y314" i="46" s="1" a="1"/>
  <c r="Y314" i="46" s="1"/>
  <c r="T314" i="46"/>
  <c r="Z314" i="46" s="1" a="1"/>
  <c r="Z314" i="46" s="1"/>
  <c r="U314" i="46"/>
  <c r="AA314" i="46" s="1" a="1"/>
  <c r="AA314" i="46" s="1"/>
  <c r="Q315" i="46"/>
  <c r="W315" i="46" s="1" a="1"/>
  <c r="W315" i="46" s="1"/>
  <c r="R315" i="46"/>
  <c r="X315" i="46" s="1" a="1"/>
  <c r="X315" i="46" s="1"/>
  <c r="S315" i="46"/>
  <c r="Y315" i="46" s="1" a="1"/>
  <c r="Y315" i="46" s="1"/>
  <c r="T315" i="46"/>
  <c r="Z315" i="46" s="1" a="1"/>
  <c r="Z315" i="46" s="1"/>
  <c r="U315" i="46"/>
  <c r="AA315" i="46" s="1" a="1"/>
  <c r="AA315" i="46" s="1"/>
  <c r="Q316" i="46"/>
  <c r="W316" i="46" s="1" a="1"/>
  <c r="W316" i="46" s="1"/>
  <c r="R316" i="46"/>
  <c r="X316" i="46" s="1" a="1"/>
  <c r="X316" i="46" s="1"/>
  <c r="S316" i="46"/>
  <c r="Y316" i="46" s="1" a="1"/>
  <c r="Y316" i="46" s="1"/>
  <c r="T316" i="46"/>
  <c r="Z316" i="46" s="1" a="1"/>
  <c r="Z316" i="46" s="1"/>
  <c r="U316" i="46"/>
  <c r="AA316" i="46" s="1" a="1"/>
  <c r="AA316" i="46" s="1"/>
  <c r="Q317" i="46"/>
  <c r="W317" i="46" s="1" a="1"/>
  <c r="W317" i="46" s="1"/>
  <c r="R317" i="46"/>
  <c r="X317" i="46" s="1" a="1"/>
  <c r="X317" i="46" s="1"/>
  <c r="S317" i="46"/>
  <c r="Y317" i="46" s="1" a="1"/>
  <c r="Y317" i="46" s="1"/>
  <c r="T317" i="46"/>
  <c r="Z317" i="46" s="1" a="1"/>
  <c r="Z317" i="46" s="1"/>
  <c r="U317" i="46"/>
  <c r="AA317" i="46" s="1" a="1"/>
  <c r="AA317" i="46" s="1"/>
  <c r="Q318" i="46"/>
  <c r="W318" i="46" s="1" a="1"/>
  <c r="W318" i="46" s="1"/>
  <c r="R318" i="46"/>
  <c r="X318" i="46" s="1" a="1"/>
  <c r="X318" i="46" s="1"/>
  <c r="S318" i="46"/>
  <c r="Y318" i="46" s="1" a="1"/>
  <c r="Y318" i="46" s="1"/>
  <c r="T318" i="46"/>
  <c r="Z318" i="46" s="1" a="1"/>
  <c r="Z318" i="46" s="1"/>
  <c r="U318" i="46"/>
  <c r="AA318" i="46" s="1" a="1"/>
  <c r="AA318" i="46" s="1"/>
  <c r="Q319" i="46"/>
  <c r="W319" i="46" s="1" a="1"/>
  <c r="W319" i="46" s="1"/>
  <c r="R319" i="46"/>
  <c r="X319" i="46" s="1" a="1"/>
  <c r="X319" i="46" s="1"/>
  <c r="S319" i="46"/>
  <c r="Y319" i="46" s="1" a="1"/>
  <c r="Y319" i="46" s="1"/>
  <c r="T319" i="46"/>
  <c r="Z319" i="46" s="1" a="1"/>
  <c r="Z319" i="46" s="1"/>
  <c r="U319" i="46"/>
  <c r="AA319" i="46" s="1" a="1"/>
  <c r="AA319" i="46" s="1"/>
  <c r="Q320" i="46"/>
  <c r="W320" i="46" s="1" a="1"/>
  <c r="W320" i="46" s="1"/>
  <c r="R320" i="46"/>
  <c r="X320" i="46" s="1" a="1"/>
  <c r="X320" i="46" s="1"/>
  <c r="S320" i="46"/>
  <c r="Y320" i="46" s="1" a="1"/>
  <c r="Y320" i="46" s="1"/>
  <c r="T320" i="46"/>
  <c r="Z320" i="46" s="1" a="1"/>
  <c r="Z320" i="46" s="1"/>
  <c r="U320" i="46"/>
  <c r="AA320" i="46" s="1" a="1"/>
  <c r="AA320" i="46" s="1"/>
  <c r="Q321" i="46"/>
  <c r="W321" i="46" s="1" a="1"/>
  <c r="W321" i="46" s="1"/>
  <c r="R321" i="46"/>
  <c r="X321" i="46" s="1" a="1"/>
  <c r="X321" i="46" s="1"/>
  <c r="S321" i="46"/>
  <c r="Y321" i="46" s="1" a="1"/>
  <c r="Y321" i="46" s="1"/>
  <c r="T321" i="46"/>
  <c r="Z321" i="46" s="1" a="1"/>
  <c r="Z321" i="46" s="1"/>
  <c r="U321" i="46"/>
  <c r="AA321" i="46" s="1" a="1"/>
  <c r="AA321" i="46" s="1"/>
  <c r="Q322" i="46"/>
  <c r="W322" i="46" s="1" a="1"/>
  <c r="W322" i="46" s="1"/>
  <c r="R322" i="46"/>
  <c r="X322" i="46" s="1" a="1"/>
  <c r="X322" i="46" s="1"/>
  <c r="S322" i="46"/>
  <c r="Y322" i="46" s="1" a="1"/>
  <c r="Y322" i="46" s="1"/>
  <c r="T322" i="46"/>
  <c r="Z322" i="46" s="1" a="1"/>
  <c r="Z322" i="46" s="1"/>
  <c r="U322" i="46"/>
  <c r="AA322" i="46" s="1" a="1"/>
  <c r="AA322" i="46" s="1"/>
  <c r="Q323" i="46"/>
  <c r="W323" i="46" s="1" a="1"/>
  <c r="W323" i="46" s="1"/>
  <c r="R323" i="46"/>
  <c r="X323" i="46" s="1" a="1"/>
  <c r="X323" i="46" s="1"/>
  <c r="S323" i="46"/>
  <c r="Y323" i="46" s="1" a="1"/>
  <c r="Y323" i="46" s="1"/>
  <c r="T323" i="46"/>
  <c r="Z323" i="46" s="1" a="1"/>
  <c r="Z323" i="46" s="1"/>
  <c r="U323" i="46"/>
  <c r="AA323" i="46" s="1" a="1"/>
  <c r="AA323" i="46" s="1"/>
  <c r="Q324" i="46"/>
  <c r="W324" i="46" s="1" a="1"/>
  <c r="W324" i="46" s="1"/>
  <c r="R324" i="46"/>
  <c r="X324" i="46" s="1" a="1"/>
  <c r="X324" i="46" s="1"/>
  <c r="S324" i="46"/>
  <c r="Y324" i="46" s="1" a="1"/>
  <c r="Y324" i="46" s="1"/>
  <c r="T324" i="46"/>
  <c r="Z324" i="46" s="1" a="1"/>
  <c r="Z324" i="46" s="1"/>
  <c r="U324" i="46"/>
  <c r="AA324" i="46" s="1" a="1"/>
  <c r="AA324" i="46" s="1"/>
  <c r="Q325" i="46"/>
  <c r="W325" i="46" s="1" a="1"/>
  <c r="W325" i="46" s="1"/>
  <c r="R325" i="46"/>
  <c r="X325" i="46" s="1" a="1"/>
  <c r="X325" i="46" s="1"/>
  <c r="S325" i="46"/>
  <c r="Y325" i="46" s="1" a="1"/>
  <c r="Y325" i="46" s="1"/>
  <c r="T325" i="46"/>
  <c r="Z325" i="46" s="1" a="1"/>
  <c r="Z325" i="46" s="1"/>
  <c r="U325" i="46"/>
  <c r="AA325" i="46" s="1" a="1"/>
  <c r="AA325" i="46" s="1"/>
  <c r="Q326" i="46"/>
  <c r="W326" i="46" s="1" a="1"/>
  <c r="W326" i="46" s="1"/>
  <c r="R326" i="46"/>
  <c r="X326" i="46" s="1" a="1"/>
  <c r="X326" i="46" s="1"/>
  <c r="S326" i="46"/>
  <c r="Y326" i="46" s="1" a="1"/>
  <c r="Y326" i="46" s="1"/>
  <c r="T326" i="46"/>
  <c r="Z326" i="46" s="1" a="1"/>
  <c r="Z326" i="46" s="1"/>
  <c r="U326" i="46"/>
  <c r="AA326" i="46" s="1" a="1"/>
  <c r="AA326" i="46" s="1"/>
  <c r="Q327" i="46"/>
  <c r="W327" i="46" s="1" a="1"/>
  <c r="W327" i="46" s="1"/>
  <c r="R327" i="46"/>
  <c r="X327" i="46" s="1" a="1"/>
  <c r="X327" i="46" s="1"/>
  <c r="S327" i="46"/>
  <c r="Y327" i="46" s="1" a="1"/>
  <c r="Y327" i="46" s="1"/>
  <c r="T327" i="46"/>
  <c r="Z327" i="46" s="1" a="1"/>
  <c r="Z327" i="46" s="1"/>
  <c r="U327" i="46"/>
  <c r="AA327" i="46" s="1" a="1"/>
  <c r="AA327" i="46" s="1"/>
  <c r="Q328" i="46"/>
  <c r="W328" i="46" s="1" a="1"/>
  <c r="W328" i="46" s="1"/>
  <c r="R328" i="46"/>
  <c r="X328" i="46" s="1" a="1"/>
  <c r="X328" i="46" s="1"/>
  <c r="S328" i="46"/>
  <c r="Y328" i="46" s="1" a="1"/>
  <c r="Y328" i="46" s="1"/>
  <c r="T328" i="46"/>
  <c r="Z328" i="46" s="1" a="1"/>
  <c r="Z328" i="46" s="1"/>
  <c r="U328" i="46"/>
  <c r="AA328" i="46" s="1" a="1"/>
  <c r="AA328" i="46" s="1"/>
  <c r="Q329" i="46"/>
  <c r="W329" i="46" s="1" a="1"/>
  <c r="W329" i="46" s="1"/>
  <c r="R329" i="46"/>
  <c r="X329" i="46" s="1" a="1"/>
  <c r="X329" i="46" s="1"/>
  <c r="S329" i="46"/>
  <c r="Y329" i="46" s="1" a="1"/>
  <c r="Y329" i="46" s="1"/>
  <c r="T329" i="46"/>
  <c r="Z329" i="46" s="1" a="1"/>
  <c r="Z329" i="46" s="1"/>
  <c r="U329" i="46"/>
  <c r="AA329" i="46" s="1" a="1"/>
  <c r="AA329" i="46" s="1"/>
  <c r="Q330" i="46"/>
  <c r="W330" i="46" s="1" a="1"/>
  <c r="W330" i="46" s="1"/>
  <c r="R330" i="46"/>
  <c r="X330" i="46" s="1" a="1"/>
  <c r="X330" i="46" s="1"/>
  <c r="S330" i="46"/>
  <c r="Y330" i="46" s="1" a="1"/>
  <c r="Y330" i="46" s="1"/>
  <c r="T330" i="46"/>
  <c r="Z330" i="46" s="1" a="1"/>
  <c r="Z330" i="46" s="1"/>
  <c r="U330" i="46"/>
  <c r="AA330" i="46" s="1" a="1"/>
  <c r="AA330" i="46" s="1"/>
  <c r="Q331" i="46"/>
  <c r="W331" i="46" s="1" a="1"/>
  <c r="W331" i="46" s="1"/>
  <c r="R331" i="46"/>
  <c r="X331" i="46" s="1" a="1"/>
  <c r="X331" i="46" s="1"/>
  <c r="S331" i="46"/>
  <c r="Y331" i="46" s="1" a="1"/>
  <c r="Y331" i="46" s="1"/>
  <c r="T331" i="46"/>
  <c r="Z331" i="46" s="1" a="1"/>
  <c r="Z331" i="46" s="1"/>
  <c r="U331" i="46"/>
  <c r="AA331" i="46" s="1" a="1"/>
  <c r="AA331" i="46" s="1"/>
  <c r="Q332" i="46"/>
  <c r="W332" i="46" s="1" a="1"/>
  <c r="W332" i="46" s="1"/>
  <c r="R332" i="46"/>
  <c r="X332" i="46" s="1" a="1"/>
  <c r="X332" i="46" s="1"/>
  <c r="S332" i="46"/>
  <c r="Y332" i="46" s="1" a="1"/>
  <c r="Y332" i="46" s="1"/>
  <c r="T332" i="46"/>
  <c r="Z332" i="46" s="1" a="1"/>
  <c r="Z332" i="46" s="1"/>
  <c r="U332" i="46"/>
  <c r="AA332" i="46" s="1" a="1"/>
  <c r="AA332" i="46" s="1"/>
  <c r="Q333" i="46"/>
  <c r="W333" i="46" s="1" a="1"/>
  <c r="W333" i="46" s="1"/>
  <c r="R333" i="46"/>
  <c r="X333" i="46" s="1" a="1"/>
  <c r="X333" i="46" s="1"/>
  <c r="S333" i="46"/>
  <c r="Y333" i="46" s="1" a="1"/>
  <c r="Y333" i="46" s="1"/>
  <c r="T333" i="46"/>
  <c r="Z333" i="46" s="1" a="1"/>
  <c r="Z333" i="46" s="1"/>
  <c r="U333" i="46"/>
  <c r="AA333" i="46" s="1" a="1"/>
  <c r="AA333" i="46" s="1"/>
  <c r="Q334" i="46"/>
  <c r="W334" i="46" s="1" a="1"/>
  <c r="W334" i="46" s="1"/>
  <c r="R334" i="46"/>
  <c r="X334" i="46" s="1" a="1"/>
  <c r="X334" i="46" s="1"/>
  <c r="S334" i="46"/>
  <c r="Y334" i="46" s="1" a="1"/>
  <c r="Y334" i="46" s="1"/>
  <c r="T334" i="46"/>
  <c r="Z334" i="46" s="1" a="1"/>
  <c r="Z334" i="46" s="1"/>
  <c r="U334" i="46"/>
  <c r="AA334" i="46" s="1" a="1"/>
  <c r="AA334" i="46" s="1"/>
  <c r="Q335" i="46"/>
  <c r="W335" i="46" s="1" a="1"/>
  <c r="W335" i="46" s="1"/>
  <c r="R335" i="46"/>
  <c r="X335" i="46" s="1" a="1"/>
  <c r="X335" i="46" s="1"/>
  <c r="S335" i="46"/>
  <c r="Y335" i="46" s="1" a="1"/>
  <c r="Y335" i="46" s="1"/>
  <c r="T335" i="46"/>
  <c r="Z335" i="46" s="1" a="1"/>
  <c r="Z335" i="46" s="1"/>
  <c r="U335" i="46"/>
  <c r="AA335" i="46" s="1" a="1"/>
  <c r="AA335" i="46" s="1"/>
  <c r="Q336" i="46"/>
  <c r="W336" i="46" s="1" a="1"/>
  <c r="W336" i="46" s="1"/>
  <c r="R336" i="46"/>
  <c r="X336" i="46" s="1" a="1"/>
  <c r="X336" i="46" s="1"/>
  <c r="S336" i="46"/>
  <c r="Y336" i="46" s="1" a="1"/>
  <c r="Y336" i="46" s="1"/>
  <c r="T336" i="46"/>
  <c r="Z336" i="46" s="1" a="1"/>
  <c r="Z336" i="46" s="1"/>
  <c r="U336" i="46"/>
  <c r="AA336" i="46" s="1" a="1"/>
  <c r="AA336" i="46" s="1"/>
  <c r="Q337" i="46"/>
  <c r="W337" i="46" s="1" a="1"/>
  <c r="W337" i="46" s="1"/>
  <c r="R337" i="46"/>
  <c r="X337" i="46" s="1" a="1"/>
  <c r="X337" i="46" s="1"/>
  <c r="S337" i="46"/>
  <c r="Y337" i="46" s="1" a="1"/>
  <c r="Y337" i="46" s="1"/>
  <c r="T337" i="46"/>
  <c r="Z337" i="46" s="1" a="1"/>
  <c r="Z337" i="46" s="1"/>
  <c r="U337" i="46"/>
  <c r="AA337" i="46" s="1" a="1"/>
  <c r="AA337" i="46" s="1"/>
  <c r="Q338" i="46"/>
  <c r="W338" i="46" s="1" a="1"/>
  <c r="W338" i="46" s="1"/>
  <c r="R338" i="46"/>
  <c r="X338" i="46" s="1" a="1"/>
  <c r="X338" i="46" s="1"/>
  <c r="S338" i="46"/>
  <c r="Y338" i="46" s="1" a="1"/>
  <c r="Y338" i="46" s="1"/>
  <c r="T338" i="46"/>
  <c r="Z338" i="46" s="1" a="1"/>
  <c r="Z338" i="46" s="1"/>
  <c r="U338" i="46"/>
  <c r="AA338" i="46" s="1" a="1"/>
  <c r="AA338" i="46" s="1"/>
  <c r="Q339" i="46"/>
  <c r="W339" i="46" s="1" a="1"/>
  <c r="W339" i="46" s="1"/>
  <c r="R339" i="46"/>
  <c r="X339" i="46" s="1" a="1"/>
  <c r="X339" i="46" s="1"/>
  <c r="S339" i="46"/>
  <c r="Y339" i="46" s="1" a="1"/>
  <c r="Y339" i="46" s="1"/>
  <c r="T339" i="46"/>
  <c r="Z339" i="46" s="1" a="1"/>
  <c r="Z339" i="46" s="1"/>
  <c r="U339" i="46"/>
  <c r="AA339" i="46" s="1" a="1"/>
  <c r="AA339" i="46" s="1"/>
  <c r="Q340" i="46"/>
  <c r="W340" i="46" s="1" a="1"/>
  <c r="W340" i="46" s="1"/>
  <c r="R340" i="46"/>
  <c r="X340" i="46" s="1" a="1"/>
  <c r="X340" i="46" s="1"/>
  <c r="S340" i="46"/>
  <c r="Y340" i="46" s="1" a="1"/>
  <c r="Y340" i="46" s="1"/>
  <c r="T340" i="46"/>
  <c r="Z340" i="46" s="1" a="1"/>
  <c r="Z340" i="46" s="1"/>
  <c r="U340" i="46"/>
  <c r="AA340" i="46" s="1" a="1"/>
  <c r="AA340" i="46" s="1"/>
  <c r="Q341" i="46"/>
  <c r="W341" i="46" s="1" a="1"/>
  <c r="W341" i="46" s="1"/>
  <c r="R341" i="46"/>
  <c r="X341" i="46" s="1" a="1"/>
  <c r="X341" i="46" s="1"/>
  <c r="S341" i="46"/>
  <c r="Y341" i="46" s="1" a="1"/>
  <c r="Y341" i="46" s="1"/>
  <c r="T341" i="46"/>
  <c r="Z341" i="46" s="1" a="1"/>
  <c r="Z341" i="46" s="1"/>
  <c r="U341" i="46"/>
  <c r="AA341" i="46" s="1" a="1"/>
  <c r="AA341" i="46" s="1"/>
  <c r="Q342" i="46"/>
  <c r="W342" i="46" s="1" a="1"/>
  <c r="W342" i="46" s="1"/>
  <c r="R342" i="46"/>
  <c r="X342" i="46" s="1" a="1"/>
  <c r="X342" i="46" s="1"/>
  <c r="S342" i="46"/>
  <c r="Y342" i="46" s="1" a="1"/>
  <c r="Y342" i="46" s="1"/>
  <c r="T342" i="46"/>
  <c r="Z342" i="46" s="1" a="1"/>
  <c r="Z342" i="46" s="1"/>
  <c r="U342" i="46"/>
  <c r="AA342" i="46" s="1" a="1"/>
  <c r="AA342" i="46" s="1"/>
  <c r="Q343" i="46"/>
  <c r="W343" i="46" s="1" a="1"/>
  <c r="W343" i="46" s="1"/>
  <c r="R343" i="46"/>
  <c r="X343" i="46" s="1" a="1"/>
  <c r="X343" i="46" s="1"/>
  <c r="S343" i="46"/>
  <c r="Y343" i="46" s="1" a="1"/>
  <c r="Y343" i="46" s="1"/>
  <c r="T343" i="46"/>
  <c r="Z343" i="46" s="1" a="1"/>
  <c r="Z343" i="46" s="1"/>
  <c r="U343" i="46"/>
  <c r="AA343" i="46" s="1" a="1"/>
  <c r="AA343" i="46" s="1"/>
  <c r="Q344" i="46"/>
  <c r="W344" i="46" s="1" a="1"/>
  <c r="W344" i="46" s="1"/>
  <c r="R344" i="46"/>
  <c r="X344" i="46" s="1" a="1"/>
  <c r="X344" i="46" s="1"/>
  <c r="S344" i="46"/>
  <c r="Y344" i="46" s="1" a="1"/>
  <c r="Y344" i="46" s="1"/>
  <c r="T344" i="46"/>
  <c r="Z344" i="46" s="1" a="1"/>
  <c r="Z344" i="46" s="1"/>
  <c r="U344" i="46"/>
  <c r="AA344" i="46" s="1" a="1"/>
  <c r="AA344" i="46" s="1"/>
  <c r="Q345" i="46"/>
  <c r="W345" i="46" s="1" a="1"/>
  <c r="W345" i="46" s="1"/>
  <c r="R345" i="46"/>
  <c r="X345" i="46" s="1" a="1"/>
  <c r="X345" i="46" s="1"/>
  <c r="S345" i="46"/>
  <c r="Y345" i="46" s="1" a="1"/>
  <c r="Y345" i="46" s="1"/>
  <c r="T345" i="46"/>
  <c r="Z345" i="46" s="1" a="1"/>
  <c r="Z345" i="46" s="1"/>
  <c r="U345" i="46"/>
  <c r="AA345" i="46" s="1" a="1"/>
  <c r="AA345" i="46" s="1"/>
  <c r="Q346" i="46"/>
  <c r="W346" i="46" s="1" a="1"/>
  <c r="W346" i="46" s="1"/>
  <c r="R346" i="46"/>
  <c r="X346" i="46" s="1" a="1"/>
  <c r="X346" i="46" s="1"/>
  <c r="S346" i="46"/>
  <c r="Y346" i="46" s="1" a="1"/>
  <c r="Y346" i="46" s="1"/>
  <c r="T346" i="46"/>
  <c r="Z346" i="46" s="1" a="1"/>
  <c r="Z346" i="46" s="1"/>
  <c r="U346" i="46"/>
  <c r="AA346" i="46" s="1" a="1"/>
  <c r="AA346" i="46" s="1"/>
  <c r="Q347" i="46"/>
  <c r="W347" i="46" s="1" a="1"/>
  <c r="W347" i="46" s="1"/>
  <c r="R347" i="46"/>
  <c r="X347" i="46" s="1" a="1"/>
  <c r="X347" i="46" s="1"/>
  <c r="S347" i="46"/>
  <c r="Y347" i="46" s="1" a="1"/>
  <c r="Y347" i="46" s="1"/>
  <c r="T347" i="46"/>
  <c r="Z347" i="46" s="1" a="1"/>
  <c r="Z347" i="46" s="1"/>
  <c r="U347" i="46"/>
  <c r="AA347" i="46" s="1" a="1"/>
  <c r="AA347" i="46" s="1"/>
  <c r="Q348" i="46"/>
  <c r="W348" i="46" s="1" a="1"/>
  <c r="W348" i="46" s="1"/>
  <c r="R348" i="46"/>
  <c r="X348" i="46" s="1" a="1"/>
  <c r="X348" i="46" s="1"/>
  <c r="S348" i="46"/>
  <c r="Y348" i="46" s="1" a="1"/>
  <c r="Y348" i="46" s="1"/>
  <c r="T348" i="46"/>
  <c r="Z348" i="46" s="1" a="1"/>
  <c r="Z348" i="46" s="1"/>
  <c r="U348" i="46"/>
  <c r="AA348" i="46" s="1" a="1"/>
  <c r="AA348" i="46" s="1"/>
  <c r="Q349" i="46"/>
  <c r="W349" i="46" s="1" a="1"/>
  <c r="W349" i="46" s="1"/>
  <c r="R349" i="46"/>
  <c r="X349" i="46" s="1" a="1"/>
  <c r="X349" i="46" s="1"/>
  <c r="S349" i="46"/>
  <c r="Y349" i="46" s="1" a="1"/>
  <c r="Y349" i="46" s="1"/>
  <c r="T349" i="46"/>
  <c r="Z349" i="46" s="1" a="1"/>
  <c r="Z349" i="46" s="1"/>
  <c r="U349" i="46"/>
  <c r="AA349" i="46" s="1" a="1"/>
  <c r="AA349" i="46" s="1"/>
  <c r="Q350" i="46"/>
  <c r="W350" i="46" s="1" a="1"/>
  <c r="W350" i="46" s="1"/>
  <c r="R350" i="46"/>
  <c r="X350" i="46" s="1" a="1"/>
  <c r="X350" i="46" s="1"/>
  <c r="S350" i="46"/>
  <c r="Y350" i="46" s="1" a="1"/>
  <c r="Y350" i="46" s="1"/>
  <c r="T350" i="46"/>
  <c r="Z350" i="46" s="1" a="1"/>
  <c r="Z350" i="46" s="1"/>
  <c r="U350" i="46"/>
  <c r="AA350" i="46" s="1" a="1"/>
  <c r="AA350" i="46" s="1"/>
  <c r="Q351" i="46"/>
  <c r="W351" i="46" s="1" a="1"/>
  <c r="W351" i="46" s="1"/>
  <c r="R351" i="46"/>
  <c r="X351" i="46" s="1" a="1"/>
  <c r="X351" i="46" s="1"/>
  <c r="S351" i="46"/>
  <c r="Y351" i="46" s="1" a="1"/>
  <c r="Y351" i="46" s="1"/>
  <c r="T351" i="46"/>
  <c r="Z351" i="46" s="1" a="1"/>
  <c r="Z351" i="46" s="1"/>
  <c r="U351" i="46"/>
  <c r="AA351" i="46" s="1" a="1"/>
  <c r="AA351" i="46" s="1"/>
  <c r="Q352" i="46"/>
  <c r="W352" i="46" s="1" a="1"/>
  <c r="W352" i="46" s="1"/>
  <c r="R352" i="46"/>
  <c r="X352" i="46" s="1" a="1"/>
  <c r="X352" i="46" s="1"/>
  <c r="S352" i="46"/>
  <c r="Y352" i="46" s="1" a="1"/>
  <c r="Y352" i="46" s="1"/>
  <c r="T352" i="46"/>
  <c r="Z352" i="46" s="1" a="1"/>
  <c r="Z352" i="46" s="1"/>
  <c r="U352" i="46"/>
  <c r="AA352" i="46" s="1" a="1"/>
  <c r="AA352" i="46" s="1"/>
  <c r="Q353" i="46"/>
  <c r="W353" i="46" s="1" a="1"/>
  <c r="W353" i="46" s="1"/>
  <c r="R353" i="46"/>
  <c r="X353" i="46" s="1" a="1"/>
  <c r="X353" i="46" s="1"/>
  <c r="S353" i="46"/>
  <c r="Y353" i="46" s="1" a="1"/>
  <c r="Y353" i="46" s="1"/>
  <c r="T353" i="46"/>
  <c r="Z353" i="46" s="1" a="1"/>
  <c r="Z353" i="46" s="1"/>
  <c r="U353" i="46"/>
  <c r="AA353" i="46" s="1" a="1"/>
  <c r="AA353" i="46" s="1"/>
  <c r="Q354" i="46"/>
  <c r="W354" i="46" s="1" a="1"/>
  <c r="W354" i="46" s="1"/>
  <c r="R354" i="46"/>
  <c r="X354" i="46" s="1" a="1"/>
  <c r="X354" i="46" s="1"/>
  <c r="S354" i="46"/>
  <c r="Y354" i="46" s="1" a="1"/>
  <c r="Y354" i="46" s="1"/>
  <c r="T354" i="46"/>
  <c r="Z354" i="46" s="1" a="1"/>
  <c r="Z354" i="46" s="1"/>
  <c r="U354" i="46"/>
  <c r="AA354" i="46" s="1" a="1"/>
  <c r="AA354" i="46" s="1"/>
  <c r="Q355" i="46"/>
  <c r="W355" i="46" s="1" a="1"/>
  <c r="W355" i="46" s="1"/>
  <c r="R355" i="46"/>
  <c r="X355" i="46" s="1" a="1"/>
  <c r="X355" i="46" s="1"/>
  <c r="S355" i="46"/>
  <c r="Y355" i="46" s="1" a="1"/>
  <c r="Y355" i="46" s="1"/>
  <c r="T355" i="46"/>
  <c r="Z355" i="46" s="1" a="1"/>
  <c r="Z355" i="46" s="1"/>
  <c r="U355" i="46"/>
  <c r="AA355" i="46" s="1" a="1"/>
  <c r="AA355" i="46" s="1"/>
  <c r="Q356" i="46"/>
  <c r="W356" i="46" s="1" a="1"/>
  <c r="W356" i="46" s="1"/>
  <c r="R356" i="46"/>
  <c r="X356" i="46" s="1" a="1"/>
  <c r="X356" i="46" s="1"/>
  <c r="S356" i="46"/>
  <c r="Y356" i="46" s="1" a="1"/>
  <c r="Y356" i="46" s="1"/>
  <c r="T356" i="46"/>
  <c r="Z356" i="46" s="1" a="1"/>
  <c r="Z356" i="46" s="1"/>
  <c r="U356" i="46"/>
  <c r="AA356" i="46" s="1" a="1"/>
  <c r="AA356" i="46" s="1"/>
  <c r="Q357" i="46"/>
  <c r="W357" i="46" s="1" a="1"/>
  <c r="W357" i="46" s="1"/>
  <c r="R357" i="46"/>
  <c r="X357" i="46" s="1" a="1"/>
  <c r="X357" i="46" s="1"/>
  <c r="S357" i="46"/>
  <c r="Y357" i="46" s="1" a="1"/>
  <c r="Y357" i="46" s="1"/>
  <c r="T357" i="46"/>
  <c r="Z357" i="46" s="1" a="1"/>
  <c r="Z357" i="46" s="1"/>
  <c r="U357" i="46"/>
  <c r="AA357" i="46" s="1" a="1"/>
  <c r="AA357" i="46" s="1"/>
  <c r="Q358" i="46"/>
  <c r="W358" i="46" s="1" a="1"/>
  <c r="W358" i="46" s="1"/>
  <c r="R358" i="46"/>
  <c r="X358" i="46" s="1" a="1"/>
  <c r="X358" i="46" s="1"/>
  <c r="S358" i="46"/>
  <c r="Y358" i="46" s="1" a="1"/>
  <c r="Y358" i="46" s="1"/>
  <c r="T358" i="46"/>
  <c r="Z358" i="46" s="1" a="1"/>
  <c r="Z358" i="46" s="1"/>
  <c r="U358" i="46"/>
  <c r="AA358" i="46" s="1" a="1"/>
  <c r="AA358" i="46" s="1"/>
  <c r="Q359" i="46"/>
  <c r="W359" i="46" s="1" a="1"/>
  <c r="W359" i="46" s="1"/>
  <c r="R359" i="46"/>
  <c r="X359" i="46" s="1" a="1"/>
  <c r="X359" i="46" s="1"/>
  <c r="S359" i="46"/>
  <c r="Y359" i="46" s="1" a="1"/>
  <c r="Y359" i="46" s="1"/>
  <c r="T359" i="46"/>
  <c r="Z359" i="46" s="1" a="1"/>
  <c r="Z359" i="46" s="1"/>
  <c r="U359" i="46"/>
  <c r="AA359" i="46" s="1" a="1"/>
  <c r="AA359" i="46" s="1"/>
  <c r="Q360" i="46"/>
  <c r="W360" i="46" s="1" a="1"/>
  <c r="W360" i="46" s="1"/>
  <c r="R360" i="46"/>
  <c r="X360" i="46" s="1" a="1"/>
  <c r="X360" i="46" s="1"/>
  <c r="S360" i="46"/>
  <c r="Y360" i="46" s="1" a="1"/>
  <c r="Y360" i="46" s="1"/>
  <c r="T360" i="46"/>
  <c r="Z360" i="46" s="1" a="1"/>
  <c r="Z360" i="46" s="1"/>
  <c r="U360" i="46"/>
  <c r="AA360" i="46" s="1" a="1"/>
  <c r="AA360" i="46" s="1"/>
  <c r="Q361" i="46"/>
  <c r="W361" i="46" s="1" a="1"/>
  <c r="W361" i="46" s="1"/>
  <c r="R361" i="46"/>
  <c r="X361" i="46" s="1" a="1"/>
  <c r="X361" i="46" s="1"/>
  <c r="S361" i="46"/>
  <c r="Y361" i="46" s="1" a="1"/>
  <c r="Y361" i="46" s="1"/>
  <c r="T361" i="46"/>
  <c r="Z361" i="46" s="1" a="1"/>
  <c r="Z361" i="46" s="1"/>
  <c r="U361" i="46"/>
  <c r="AA361" i="46" s="1" a="1"/>
  <c r="AA361" i="46" s="1"/>
  <c r="Q362" i="46"/>
  <c r="W362" i="46" s="1" a="1"/>
  <c r="W362" i="46" s="1"/>
  <c r="R362" i="46"/>
  <c r="X362" i="46" s="1" a="1"/>
  <c r="X362" i="46" s="1"/>
  <c r="S362" i="46"/>
  <c r="Y362" i="46" s="1" a="1"/>
  <c r="Y362" i="46" s="1"/>
  <c r="T362" i="46"/>
  <c r="Z362" i="46" s="1" a="1"/>
  <c r="Z362" i="46" s="1"/>
  <c r="U362" i="46"/>
  <c r="AA362" i="46" s="1" a="1"/>
  <c r="AA362" i="46" s="1"/>
  <c r="Q363" i="46"/>
  <c r="W363" i="46" s="1" a="1"/>
  <c r="W363" i="46" s="1"/>
  <c r="R363" i="46"/>
  <c r="X363" i="46" s="1" a="1"/>
  <c r="X363" i="46" s="1"/>
  <c r="S363" i="46"/>
  <c r="Y363" i="46" s="1" a="1"/>
  <c r="Y363" i="46" s="1"/>
  <c r="T363" i="46"/>
  <c r="Z363" i="46" s="1" a="1"/>
  <c r="Z363" i="46" s="1"/>
  <c r="U363" i="46"/>
  <c r="AA363" i="46" s="1" a="1"/>
  <c r="AA363" i="46" s="1"/>
  <c r="Q364" i="46"/>
  <c r="W364" i="46" s="1" a="1"/>
  <c r="W364" i="46" s="1"/>
  <c r="R364" i="46"/>
  <c r="X364" i="46" s="1" a="1"/>
  <c r="X364" i="46" s="1"/>
  <c r="S364" i="46"/>
  <c r="Y364" i="46" s="1" a="1"/>
  <c r="Y364" i="46" s="1"/>
  <c r="T364" i="46"/>
  <c r="Z364" i="46" s="1" a="1"/>
  <c r="Z364" i="46" s="1"/>
  <c r="U364" i="46"/>
  <c r="AA364" i="46" s="1" a="1"/>
  <c r="AA364" i="46" s="1"/>
  <c r="Q365" i="46"/>
  <c r="W365" i="46" s="1" a="1"/>
  <c r="W365" i="46" s="1"/>
  <c r="R365" i="46"/>
  <c r="X365" i="46" s="1" a="1"/>
  <c r="X365" i="46" s="1"/>
  <c r="S365" i="46"/>
  <c r="Y365" i="46" s="1" a="1"/>
  <c r="Y365" i="46" s="1"/>
  <c r="T365" i="46"/>
  <c r="Z365" i="46" s="1" a="1"/>
  <c r="Z365" i="46" s="1"/>
  <c r="U365" i="46"/>
  <c r="AA365" i="46" s="1" a="1"/>
  <c r="AA365" i="46" s="1"/>
  <c r="Q366" i="46"/>
  <c r="W366" i="46" s="1" a="1"/>
  <c r="W366" i="46" s="1"/>
  <c r="R366" i="46"/>
  <c r="X366" i="46" s="1" a="1"/>
  <c r="X366" i="46" s="1"/>
  <c r="S366" i="46"/>
  <c r="Y366" i="46" s="1" a="1"/>
  <c r="Y366" i="46" s="1"/>
  <c r="T366" i="46"/>
  <c r="Z366" i="46" s="1" a="1"/>
  <c r="Z366" i="46" s="1"/>
  <c r="U366" i="46"/>
  <c r="AA366" i="46" s="1" a="1"/>
  <c r="AA366" i="46" s="1"/>
  <c r="Q367" i="46"/>
  <c r="W367" i="46" s="1" a="1"/>
  <c r="W367" i="46" s="1"/>
  <c r="R367" i="46"/>
  <c r="X367" i="46" s="1" a="1"/>
  <c r="X367" i="46" s="1"/>
  <c r="S367" i="46"/>
  <c r="Y367" i="46" s="1" a="1"/>
  <c r="Y367" i="46" s="1"/>
  <c r="T367" i="46"/>
  <c r="Z367" i="46" s="1" a="1"/>
  <c r="Z367" i="46" s="1"/>
  <c r="U367" i="46"/>
  <c r="AA367" i="46" s="1" a="1"/>
  <c r="AA367" i="46" s="1"/>
  <c r="Q368" i="46"/>
  <c r="W368" i="46" s="1" a="1"/>
  <c r="W368" i="46" s="1"/>
  <c r="R368" i="46"/>
  <c r="X368" i="46" s="1" a="1"/>
  <c r="X368" i="46" s="1"/>
  <c r="S368" i="46"/>
  <c r="Y368" i="46" s="1" a="1"/>
  <c r="Y368" i="46" s="1"/>
  <c r="T368" i="46"/>
  <c r="Z368" i="46" s="1" a="1"/>
  <c r="Z368" i="46" s="1"/>
  <c r="U368" i="46"/>
  <c r="AA368" i="46" s="1" a="1"/>
  <c r="AA368" i="46" s="1"/>
  <c r="Q369" i="46"/>
  <c r="W369" i="46" s="1" a="1"/>
  <c r="W369" i="46" s="1"/>
  <c r="R369" i="46"/>
  <c r="X369" i="46" s="1" a="1"/>
  <c r="X369" i="46" s="1"/>
  <c r="S369" i="46"/>
  <c r="Y369" i="46" s="1" a="1"/>
  <c r="Y369" i="46" s="1"/>
  <c r="T369" i="46"/>
  <c r="Z369" i="46" s="1" a="1"/>
  <c r="Z369" i="46" s="1"/>
  <c r="U369" i="46"/>
  <c r="AA369" i="46" s="1" a="1"/>
  <c r="AA369" i="46" s="1"/>
  <c r="Q370" i="46"/>
  <c r="W370" i="46" s="1" a="1"/>
  <c r="W370" i="46" s="1"/>
  <c r="R370" i="46"/>
  <c r="X370" i="46" s="1" a="1"/>
  <c r="X370" i="46" s="1"/>
  <c r="S370" i="46"/>
  <c r="Y370" i="46" s="1" a="1"/>
  <c r="Y370" i="46" s="1"/>
  <c r="T370" i="46"/>
  <c r="Z370" i="46" s="1" a="1"/>
  <c r="Z370" i="46" s="1"/>
  <c r="U370" i="46"/>
  <c r="AA370" i="46" s="1" a="1"/>
  <c r="AA370" i="46" s="1"/>
  <c r="Q371" i="46"/>
  <c r="W371" i="46" s="1" a="1"/>
  <c r="W371" i="46" s="1"/>
  <c r="R371" i="46"/>
  <c r="X371" i="46" s="1" a="1"/>
  <c r="X371" i="46" s="1"/>
  <c r="S371" i="46"/>
  <c r="Y371" i="46" s="1" a="1"/>
  <c r="Y371" i="46" s="1"/>
  <c r="T371" i="46"/>
  <c r="Z371" i="46" s="1" a="1"/>
  <c r="Z371" i="46" s="1"/>
  <c r="U371" i="46"/>
  <c r="AA371" i="46" s="1" a="1"/>
  <c r="AA371" i="46" s="1"/>
  <c r="Q372" i="46"/>
  <c r="W372" i="46" s="1" a="1"/>
  <c r="W372" i="46" s="1"/>
  <c r="R372" i="46"/>
  <c r="X372" i="46" s="1" a="1"/>
  <c r="X372" i="46" s="1"/>
  <c r="S372" i="46"/>
  <c r="Y372" i="46" s="1" a="1"/>
  <c r="Y372" i="46" s="1"/>
  <c r="T372" i="46"/>
  <c r="Z372" i="46" s="1" a="1"/>
  <c r="Z372" i="46" s="1"/>
  <c r="U372" i="46"/>
  <c r="AA372" i="46" s="1" a="1"/>
  <c r="AA372" i="46" s="1"/>
  <c r="Q373" i="46"/>
  <c r="W373" i="46" s="1" a="1"/>
  <c r="W373" i="46" s="1"/>
  <c r="R373" i="46"/>
  <c r="X373" i="46" s="1" a="1"/>
  <c r="X373" i="46" s="1"/>
  <c r="S373" i="46"/>
  <c r="Y373" i="46" s="1" a="1"/>
  <c r="Y373" i="46" s="1"/>
  <c r="T373" i="46"/>
  <c r="Z373" i="46" s="1" a="1"/>
  <c r="Z373" i="46" s="1"/>
  <c r="U373" i="46"/>
  <c r="AA373" i="46" s="1" a="1"/>
  <c r="AA373" i="46" s="1"/>
  <c r="Q374" i="46"/>
  <c r="W374" i="46" s="1" a="1"/>
  <c r="W374" i="46" s="1"/>
  <c r="R374" i="46"/>
  <c r="X374" i="46" s="1" a="1"/>
  <c r="X374" i="46" s="1"/>
  <c r="S374" i="46"/>
  <c r="Y374" i="46" s="1" a="1"/>
  <c r="Y374" i="46" s="1"/>
  <c r="T374" i="46"/>
  <c r="Z374" i="46" s="1" a="1"/>
  <c r="Z374" i="46" s="1"/>
  <c r="U374" i="46"/>
  <c r="AA374" i="46" s="1" a="1"/>
  <c r="AA374" i="46" s="1"/>
  <c r="Q375" i="46"/>
  <c r="W375" i="46" s="1" a="1"/>
  <c r="W375" i="46" s="1"/>
  <c r="R375" i="46"/>
  <c r="X375" i="46" s="1" a="1"/>
  <c r="X375" i="46" s="1"/>
  <c r="S375" i="46"/>
  <c r="Y375" i="46" s="1" a="1"/>
  <c r="Y375" i="46" s="1"/>
  <c r="T375" i="46"/>
  <c r="Z375" i="46" s="1" a="1"/>
  <c r="Z375" i="46" s="1"/>
  <c r="U375" i="46"/>
  <c r="AA375" i="46" s="1" a="1"/>
  <c r="AA375" i="46" s="1"/>
  <c r="Q376" i="46"/>
  <c r="W376" i="46" s="1" a="1"/>
  <c r="W376" i="46" s="1"/>
  <c r="R376" i="46"/>
  <c r="X376" i="46" s="1" a="1"/>
  <c r="X376" i="46" s="1"/>
  <c r="S376" i="46"/>
  <c r="Y376" i="46" s="1" a="1"/>
  <c r="Y376" i="46" s="1"/>
  <c r="T376" i="46"/>
  <c r="Z376" i="46" s="1" a="1"/>
  <c r="Z376" i="46" s="1"/>
  <c r="U376" i="46"/>
  <c r="AA376" i="46" s="1" a="1"/>
  <c r="AA376" i="46" s="1"/>
  <c r="Q377" i="46"/>
  <c r="W377" i="46" s="1" a="1"/>
  <c r="W377" i="46" s="1"/>
  <c r="R377" i="46"/>
  <c r="X377" i="46" s="1" a="1"/>
  <c r="X377" i="46" s="1"/>
  <c r="S377" i="46"/>
  <c r="Y377" i="46" s="1" a="1"/>
  <c r="Y377" i="46" s="1"/>
  <c r="T377" i="46"/>
  <c r="Z377" i="46" s="1" a="1"/>
  <c r="Z377" i="46" s="1"/>
  <c r="U377" i="46"/>
  <c r="AA377" i="46" s="1" a="1"/>
  <c r="AA377" i="46" s="1"/>
  <c r="Q378" i="46"/>
  <c r="W378" i="46" s="1" a="1"/>
  <c r="W378" i="46" s="1"/>
  <c r="R378" i="46"/>
  <c r="X378" i="46" s="1" a="1"/>
  <c r="X378" i="46" s="1"/>
  <c r="S378" i="46"/>
  <c r="Y378" i="46" s="1" a="1"/>
  <c r="Y378" i="46" s="1"/>
  <c r="T378" i="46"/>
  <c r="Z378" i="46" s="1" a="1"/>
  <c r="Z378" i="46" s="1"/>
  <c r="U378" i="46"/>
  <c r="AA378" i="46" s="1" a="1"/>
  <c r="AA378" i="46" s="1"/>
  <c r="Q379" i="46"/>
  <c r="W379" i="46" s="1" a="1"/>
  <c r="W379" i="46" s="1"/>
  <c r="R379" i="46"/>
  <c r="X379" i="46" s="1" a="1"/>
  <c r="X379" i="46" s="1"/>
  <c r="S379" i="46"/>
  <c r="Y379" i="46" s="1" a="1"/>
  <c r="Y379" i="46" s="1"/>
  <c r="T379" i="46"/>
  <c r="Z379" i="46" s="1" a="1"/>
  <c r="Z379" i="46" s="1"/>
  <c r="U379" i="46"/>
  <c r="AA379" i="46" s="1" a="1"/>
  <c r="AA379" i="46" s="1"/>
  <c r="Q380" i="46"/>
  <c r="W380" i="46" s="1" a="1"/>
  <c r="W380" i="46" s="1"/>
  <c r="R380" i="46"/>
  <c r="X380" i="46" s="1" a="1"/>
  <c r="X380" i="46" s="1"/>
  <c r="S380" i="46"/>
  <c r="Y380" i="46" s="1" a="1"/>
  <c r="Y380" i="46" s="1"/>
  <c r="T380" i="46"/>
  <c r="Z380" i="46" s="1" a="1"/>
  <c r="Z380" i="46" s="1"/>
  <c r="U380" i="46"/>
  <c r="AA380" i="46" s="1" a="1"/>
  <c r="AA380" i="46" s="1"/>
  <c r="Q381" i="46"/>
  <c r="W381" i="46" s="1" a="1"/>
  <c r="W381" i="46" s="1"/>
  <c r="R381" i="46"/>
  <c r="X381" i="46" s="1" a="1"/>
  <c r="X381" i="46" s="1"/>
  <c r="S381" i="46"/>
  <c r="Y381" i="46" s="1" a="1"/>
  <c r="Y381" i="46" s="1"/>
  <c r="T381" i="46"/>
  <c r="Z381" i="46" s="1" a="1"/>
  <c r="Z381" i="46" s="1"/>
  <c r="U381" i="46"/>
  <c r="AA381" i="46" s="1" a="1"/>
  <c r="AA381" i="46" s="1"/>
  <c r="Q382" i="46"/>
  <c r="W382" i="46" s="1" a="1"/>
  <c r="W382" i="46" s="1"/>
  <c r="R382" i="46"/>
  <c r="X382" i="46" s="1" a="1"/>
  <c r="X382" i="46" s="1"/>
  <c r="S382" i="46"/>
  <c r="Y382" i="46" s="1" a="1"/>
  <c r="Y382" i="46" s="1"/>
  <c r="T382" i="46"/>
  <c r="Z382" i="46" s="1" a="1"/>
  <c r="Z382" i="46" s="1"/>
  <c r="U382" i="46"/>
  <c r="AA382" i="46" s="1" a="1"/>
  <c r="AA382" i="46" s="1"/>
  <c r="Q383" i="46"/>
  <c r="W383" i="46" s="1" a="1"/>
  <c r="W383" i="46" s="1"/>
  <c r="R383" i="46"/>
  <c r="X383" i="46" s="1" a="1"/>
  <c r="X383" i="46" s="1"/>
  <c r="S383" i="46"/>
  <c r="Y383" i="46" s="1" a="1"/>
  <c r="Y383" i="46" s="1"/>
  <c r="T383" i="46"/>
  <c r="Z383" i="46" s="1" a="1"/>
  <c r="Z383" i="46" s="1"/>
  <c r="U383" i="46"/>
  <c r="AA383" i="46" s="1" a="1"/>
  <c r="AA383" i="46" s="1"/>
  <c r="Q384" i="46"/>
  <c r="W384" i="46" s="1" a="1"/>
  <c r="W384" i="46" s="1"/>
  <c r="R384" i="46"/>
  <c r="X384" i="46" s="1" a="1"/>
  <c r="X384" i="46" s="1"/>
  <c r="S384" i="46"/>
  <c r="Y384" i="46" s="1" a="1"/>
  <c r="Y384" i="46" s="1"/>
  <c r="T384" i="46"/>
  <c r="Z384" i="46" s="1" a="1"/>
  <c r="Z384" i="46" s="1"/>
  <c r="U384" i="46"/>
  <c r="AA384" i="46" s="1" a="1"/>
  <c r="AA384" i="46" s="1"/>
  <c r="Q385" i="46"/>
  <c r="W385" i="46" s="1" a="1"/>
  <c r="W385" i="46" s="1"/>
  <c r="R385" i="46"/>
  <c r="X385" i="46" s="1" a="1"/>
  <c r="X385" i="46" s="1"/>
  <c r="S385" i="46"/>
  <c r="Y385" i="46" s="1" a="1"/>
  <c r="Y385" i="46" s="1"/>
  <c r="T385" i="46"/>
  <c r="Z385" i="46" s="1" a="1"/>
  <c r="Z385" i="46" s="1"/>
  <c r="U385" i="46"/>
  <c r="AA385" i="46" s="1" a="1"/>
  <c r="AA385" i="46" s="1"/>
  <c r="Q386" i="46"/>
  <c r="W386" i="46" s="1" a="1"/>
  <c r="W386" i="46" s="1"/>
  <c r="R386" i="46"/>
  <c r="X386" i="46" s="1" a="1"/>
  <c r="X386" i="46" s="1"/>
  <c r="S386" i="46"/>
  <c r="Y386" i="46" s="1" a="1"/>
  <c r="Y386" i="46" s="1"/>
  <c r="T386" i="46"/>
  <c r="Z386" i="46" s="1" a="1"/>
  <c r="Z386" i="46" s="1"/>
  <c r="U386" i="46"/>
  <c r="AA386" i="46" s="1" a="1"/>
  <c r="AA386" i="46" s="1"/>
  <c r="Q387" i="46"/>
  <c r="W387" i="46" s="1" a="1"/>
  <c r="W387" i="46" s="1"/>
  <c r="R387" i="46"/>
  <c r="X387" i="46" s="1" a="1"/>
  <c r="X387" i="46" s="1"/>
  <c r="S387" i="46"/>
  <c r="Y387" i="46" s="1" a="1"/>
  <c r="Y387" i="46" s="1"/>
  <c r="T387" i="46"/>
  <c r="Z387" i="46" s="1" a="1"/>
  <c r="Z387" i="46" s="1"/>
  <c r="U387" i="46"/>
  <c r="AA387" i="46" s="1" a="1"/>
  <c r="AA387" i="46" s="1"/>
  <c r="Q388" i="46"/>
  <c r="W388" i="46" s="1" a="1"/>
  <c r="W388" i="46" s="1"/>
  <c r="R388" i="46"/>
  <c r="X388" i="46" s="1" a="1"/>
  <c r="X388" i="46" s="1"/>
  <c r="S388" i="46"/>
  <c r="Y388" i="46" s="1" a="1"/>
  <c r="Y388" i="46" s="1"/>
  <c r="T388" i="46"/>
  <c r="Z388" i="46" s="1" a="1"/>
  <c r="Z388" i="46" s="1"/>
  <c r="U388" i="46"/>
  <c r="AA388" i="46" s="1" a="1"/>
  <c r="AA388" i="46" s="1"/>
  <c r="Q389" i="46"/>
  <c r="W389" i="46" s="1" a="1"/>
  <c r="W389" i="46" s="1"/>
  <c r="R389" i="46"/>
  <c r="X389" i="46" s="1" a="1"/>
  <c r="X389" i="46" s="1"/>
  <c r="S389" i="46"/>
  <c r="Y389" i="46" s="1" a="1"/>
  <c r="Y389" i="46" s="1"/>
  <c r="T389" i="46"/>
  <c r="Z389" i="46" s="1" a="1"/>
  <c r="Z389" i="46" s="1"/>
  <c r="U389" i="46"/>
  <c r="AA389" i="46" s="1" a="1"/>
  <c r="AA389" i="46" s="1"/>
  <c r="Q390" i="46"/>
  <c r="W390" i="46" s="1" a="1"/>
  <c r="W390" i="46" s="1"/>
  <c r="R390" i="46"/>
  <c r="X390" i="46" s="1" a="1"/>
  <c r="X390" i="46" s="1"/>
  <c r="S390" i="46"/>
  <c r="Y390" i="46" s="1" a="1"/>
  <c r="Y390" i="46" s="1"/>
  <c r="T390" i="46"/>
  <c r="Z390" i="46" s="1" a="1"/>
  <c r="Z390" i="46" s="1"/>
  <c r="U390" i="46"/>
  <c r="AA390" i="46" s="1" a="1"/>
  <c r="AA390" i="46" s="1"/>
  <c r="Q391" i="46"/>
  <c r="W391" i="46" s="1" a="1"/>
  <c r="W391" i="46" s="1"/>
  <c r="R391" i="46"/>
  <c r="X391" i="46" s="1" a="1"/>
  <c r="X391" i="46" s="1"/>
  <c r="S391" i="46"/>
  <c r="Y391" i="46" s="1" a="1"/>
  <c r="Y391" i="46" s="1"/>
  <c r="T391" i="46"/>
  <c r="Z391" i="46" s="1" a="1"/>
  <c r="Z391" i="46" s="1"/>
  <c r="U391" i="46"/>
  <c r="AA391" i="46" s="1" a="1"/>
  <c r="AA391" i="46" s="1"/>
  <c r="Q392" i="46"/>
  <c r="W392" i="46" s="1" a="1"/>
  <c r="W392" i="46" s="1"/>
  <c r="R392" i="46"/>
  <c r="X392" i="46" s="1" a="1"/>
  <c r="X392" i="46" s="1"/>
  <c r="S392" i="46"/>
  <c r="Y392" i="46" s="1" a="1"/>
  <c r="Y392" i="46" s="1"/>
  <c r="T392" i="46"/>
  <c r="Z392" i="46" s="1" a="1"/>
  <c r="Z392" i="46" s="1"/>
  <c r="U392" i="46"/>
  <c r="AA392" i="46" s="1" a="1"/>
  <c r="AA392" i="46" s="1"/>
  <c r="Q393" i="46"/>
  <c r="W393" i="46" s="1" a="1"/>
  <c r="W393" i="46" s="1"/>
  <c r="R393" i="46"/>
  <c r="X393" i="46" s="1" a="1"/>
  <c r="X393" i="46" s="1"/>
  <c r="S393" i="46"/>
  <c r="Y393" i="46" s="1" a="1"/>
  <c r="Y393" i="46" s="1"/>
  <c r="T393" i="46"/>
  <c r="Z393" i="46" s="1" a="1"/>
  <c r="Z393" i="46" s="1"/>
  <c r="U393" i="46"/>
  <c r="AA393" i="46" s="1" a="1"/>
  <c r="AA393" i="46" s="1"/>
  <c r="Q394" i="46"/>
  <c r="W394" i="46" s="1" a="1"/>
  <c r="W394" i="46" s="1"/>
  <c r="R394" i="46"/>
  <c r="X394" i="46" s="1" a="1"/>
  <c r="X394" i="46" s="1"/>
  <c r="S394" i="46"/>
  <c r="Y394" i="46" s="1" a="1"/>
  <c r="Y394" i="46" s="1"/>
  <c r="T394" i="46"/>
  <c r="Z394" i="46" s="1" a="1"/>
  <c r="Z394" i="46" s="1"/>
  <c r="U394" i="46"/>
  <c r="AA394" i="46" s="1" a="1"/>
  <c r="AA394" i="46" s="1"/>
  <c r="Q395" i="46"/>
  <c r="W395" i="46" s="1" a="1"/>
  <c r="W395" i="46" s="1"/>
  <c r="R395" i="46"/>
  <c r="X395" i="46" s="1" a="1"/>
  <c r="X395" i="46" s="1"/>
  <c r="S395" i="46"/>
  <c r="Y395" i="46" s="1" a="1"/>
  <c r="Y395" i="46" s="1"/>
  <c r="T395" i="46"/>
  <c r="Z395" i="46" s="1" a="1"/>
  <c r="Z395" i="46" s="1"/>
  <c r="U395" i="46"/>
  <c r="AA395" i="46" s="1" a="1"/>
  <c r="AA395" i="46" s="1"/>
  <c r="Q396" i="46"/>
  <c r="W396" i="46" s="1" a="1"/>
  <c r="W396" i="46" s="1"/>
  <c r="R396" i="46"/>
  <c r="X396" i="46" s="1" a="1"/>
  <c r="X396" i="46" s="1"/>
  <c r="S396" i="46"/>
  <c r="Y396" i="46" s="1" a="1"/>
  <c r="Y396" i="46" s="1"/>
  <c r="T396" i="46"/>
  <c r="Z396" i="46" s="1" a="1"/>
  <c r="Z396" i="46" s="1"/>
  <c r="U396" i="46"/>
  <c r="AA396" i="46" s="1" a="1"/>
  <c r="AA396" i="46" s="1"/>
  <c r="Q397" i="46"/>
  <c r="W397" i="46" s="1" a="1"/>
  <c r="W397" i="46" s="1"/>
  <c r="R397" i="46"/>
  <c r="X397" i="46" s="1" a="1"/>
  <c r="X397" i="46" s="1"/>
  <c r="S397" i="46"/>
  <c r="Y397" i="46" s="1" a="1"/>
  <c r="Y397" i="46" s="1"/>
  <c r="T397" i="46"/>
  <c r="Z397" i="46" s="1" a="1"/>
  <c r="Z397" i="46" s="1"/>
  <c r="U397" i="46"/>
  <c r="AA397" i="46" s="1" a="1"/>
  <c r="AA397" i="46" s="1"/>
  <c r="Q398" i="46"/>
  <c r="W398" i="46" s="1" a="1"/>
  <c r="W398" i="46" s="1"/>
  <c r="R398" i="46"/>
  <c r="X398" i="46" s="1" a="1"/>
  <c r="X398" i="46" s="1"/>
  <c r="S398" i="46"/>
  <c r="Y398" i="46" s="1" a="1"/>
  <c r="Y398" i="46" s="1"/>
  <c r="T398" i="46"/>
  <c r="Z398" i="46" s="1" a="1"/>
  <c r="Z398" i="46" s="1"/>
  <c r="U398" i="46"/>
  <c r="AA398" i="46" s="1" a="1"/>
  <c r="AA398" i="46" s="1"/>
  <c r="Q399" i="46"/>
  <c r="W399" i="46" s="1" a="1"/>
  <c r="W399" i="46" s="1"/>
  <c r="R399" i="46"/>
  <c r="X399" i="46" s="1" a="1"/>
  <c r="X399" i="46" s="1"/>
  <c r="S399" i="46"/>
  <c r="Y399" i="46" s="1" a="1"/>
  <c r="Y399" i="46" s="1"/>
  <c r="T399" i="46"/>
  <c r="Z399" i="46" s="1" a="1"/>
  <c r="Z399" i="46" s="1"/>
  <c r="U399" i="46"/>
  <c r="AA399" i="46" s="1" a="1"/>
  <c r="AA399" i="46" s="1"/>
  <c r="Q400" i="46"/>
  <c r="W400" i="46" s="1" a="1"/>
  <c r="W400" i="46" s="1"/>
  <c r="R400" i="46"/>
  <c r="X400" i="46" s="1" a="1"/>
  <c r="X400" i="46" s="1"/>
  <c r="S400" i="46"/>
  <c r="Y400" i="46" s="1" a="1"/>
  <c r="Y400" i="46" s="1"/>
  <c r="T400" i="46"/>
  <c r="Z400" i="46" s="1" a="1"/>
  <c r="Z400" i="46" s="1"/>
  <c r="U400" i="46"/>
  <c r="AA400" i="46" s="1" a="1"/>
  <c r="AA400" i="46" s="1"/>
  <c r="Q401" i="46"/>
  <c r="W401" i="46" s="1" a="1"/>
  <c r="W401" i="46" s="1"/>
  <c r="R401" i="46"/>
  <c r="X401" i="46" s="1" a="1"/>
  <c r="X401" i="46" s="1"/>
  <c r="S401" i="46"/>
  <c r="Y401" i="46" s="1" a="1"/>
  <c r="Y401" i="46" s="1"/>
  <c r="T401" i="46"/>
  <c r="Z401" i="46" s="1" a="1"/>
  <c r="Z401" i="46" s="1"/>
  <c r="U401" i="46"/>
  <c r="AA401" i="46" s="1" a="1"/>
  <c r="AA401" i="46" s="1"/>
  <c r="Q402" i="46"/>
  <c r="W402" i="46" s="1" a="1"/>
  <c r="W402" i="46" s="1"/>
  <c r="R402" i="46"/>
  <c r="X402" i="46" s="1" a="1"/>
  <c r="X402" i="46" s="1"/>
  <c r="S402" i="46"/>
  <c r="Y402" i="46" s="1" a="1"/>
  <c r="Y402" i="46" s="1"/>
  <c r="T402" i="46"/>
  <c r="Z402" i="46" s="1" a="1"/>
  <c r="Z402" i="46" s="1"/>
  <c r="U402" i="46"/>
  <c r="AA402" i="46" s="1" a="1"/>
  <c r="AA402" i="46" s="1"/>
  <c r="Q403" i="46"/>
  <c r="W403" i="46" s="1" a="1"/>
  <c r="W403" i="46" s="1"/>
  <c r="R403" i="46"/>
  <c r="X403" i="46" s="1" a="1"/>
  <c r="X403" i="46" s="1"/>
  <c r="S403" i="46"/>
  <c r="Y403" i="46" s="1" a="1"/>
  <c r="Y403" i="46" s="1"/>
  <c r="T403" i="46"/>
  <c r="Z403" i="46" s="1" a="1"/>
  <c r="Z403" i="46" s="1"/>
  <c r="U403" i="46"/>
  <c r="AA403" i="46" s="1" a="1"/>
  <c r="AA403" i="46" s="1"/>
  <c r="Q404" i="46"/>
  <c r="W404" i="46" s="1" a="1"/>
  <c r="W404" i="46" s="1"/>
  <c r="R404" i="46"/>
  <c r="X404" i="46" s="1" a="1"/>
  <c r="X404" i="46" s="1"/>
  <c r="S404" i="46"/>
  <c r="Y404" i="46" s="1" a="1"/>
  <c r="Y404" i="46" s="1"/>
  <c r="T404" i="46"/>
  <c r="Z404" i="46" s="1" a="1"/>
  <c r="Z404" i="46" s="1"/>
  <c r="U404" i="46"/>
  <c r="AA404" i="46" s="1" a="1"/>
  <c r="AA404" i="46" s="1"/>
  <c r="Q405" i="46"/>
  <c r="W405" i="46" s="1" a="1"/>
  <c r="W405" i="46" s="1"/>
  <c r="R405" i="46"/>
  <c r="X405" i="46" s="1" a="1"/>
  <c r="X405" i="46" s="1"/>
  <c r="S405" i="46"/>
  <c r="Y405" i="46" s="1" a="1"/>
  <c r="Y405" i="46" s="1"/>
  <c r="T405" i="46"/>
  <c r="Z405" i="46" s="1" a="1"/>
  <c r="Z405" i="46" s="1"/>
  <c r="U405" i="46"/>
  <c r="AA405" i="46" s="1" a="1"/>
  <c r="AA405" i="46" s="1"/>
  <c r="Q406" i="46"/>
  <c r="W406" i="46" s="1" a="1"/>
  <c r="W406" i="46" s="1"/>
  <c r="R406" i="46"/>
  <c r="X406" i="46" s="1" a="1"/>
  <c r="X406" i="46" s="1"/>
  <c r="S406" i="46"/>
  <c r="Y406" i="46" s="1" a="1"/>
  <c r="Y406" i="46" s="1"/>
  <c r="T406" i="46"/>
  <c r="Z406" i="46" s="1" a="1"/>
  <c r="Z406" i="46" s="1"/>
  <c r="U406" i="46"/>
  <c r="AA406" i="46" s="1" a="1"/>
  <c r="AA406" i="46" s="1"/>
  <c r="Q407" i="46"/>
  <c r="W407" i="46" s="1" a="1"/>
  <c r="W407" i="46" s="1"/>
  <c r="R407" i="46"/>
  <c r="X407" i="46" s="1" a="1"/>
  <c r="X407" i="46" s="1"/>
  <c r="S407" i="46"/>
  <c r="Y407" i="46" s="1" a="1"/>
  <c r="Y407" i="46" s="1"/>
  <c r="T407" i="46"/>
  <c r="Z407" i="46" s="1" a="1"/>
  <c r="Z407" i="46" s="1"/>
  <c r="U407" i="46"/>
  <c r="AA407" i="46" s="1" a="1"/>
  <c r="AA407" i="46" s="1"/>
  <c r="Q408" i="46"/>
  <c r="W408" i="46" s="1" a="1"/>
  <c r="W408" i="46" s="1"/>
  <c r="R408" i="46"/>
  <c r="X408" i="46" s="1" a="1"/>
  <c r="X408" i="46" s="1"/>
  <c r="S408" i="46"/>
  <c r="Y408" i="46" s="1" a="1"/>
  <c r="Y408" i="46" s="1"/>
  <c r="T408" i="46"/>
  <c r="Z408" i="46" s="1" a="1"/>
  <c r="Z408" i="46" s="1"/>
  <c r="U408" i="46"/>
  <c r="AA408" i="46" s="1" a="1"/>
  <c r="AA408" i="46" s="1"/>
  <c r="Q409" i="46"/>
  <c r="W409" i="46" s="1" a="1"/>
  <c r="W409" i="46" s="1"/>
  <c r="R409" i="46"/>
  <c r="X409" i="46" s="1" a="1"/>
  <c r="X409" i="46" s="1"/>
  <c r="S409" i="46"/>
  <c r="Y409" i="46" s="1" a="1"/>
  <c r="Y409" i="46" s="1"/>
  <c r="T409" i="46"/>
  <c r="Z409" i="46" s="1" a="1"/>
  <c r="Z409" i="46" s="1"/>
  <c r="U409" i="46"/>
  <c r="AA409" i="46" s="1" a="1"/>
  <c r="AA409" i="46" s="1"/>
  <c r="Q410" i="46"/>
  <c r="W410" i="46" s="1" a="1"/>
  <c r="W410" i="46" s="1"/>
  <c r="R410" i="46"/>
  <c r="X410" i="46" s="1" a="1"/>
  <c r="X410" i="46" s="1"/>
  <c r="S410" i="46"/>
  <c r="Y410" i="46" s="1" a="1"/>
  <c r="Y410" i="46" s="1"/>
  <c r="T410" i="46"/>
  <c r="Z410" i="46" s="1" a="1"/>
  <c r="Z410" i="46" s="1"/>
  <c r="U410" i="46"/>
  <c r="AA410" i="46" s="1" a="1"/>
  <c r="AA410" i="46" s="1"/>
  <c r="Q411" i="46"/>
  <c r="W411" i="46" s="1" a="1"/>
  <c r="W411" i="46" s="1"/>
  <c r="R411" i="46"/>
  <c r="X411" i="46" s="1" a="1"/>
  <c r="X411" i="46" s="1"/>
  <c r="S411" i="46"/>
  <c r="Y411" i="46" s="1" a="1"/>
  <c r="Y411" i="46" s="1"/>
  <c r="T411" i="46"/>
  <c r="Z411" i="46" s="1" a="1"/>
  <c r="Z411" i="46" s="1"/>
  <c r="U411" i="46"/>
  <c r="AA411" i="46" s="1" a="1"/>
  <c r="AA411" i="46" s="1"/>
  <c r="Q412" i="46"/>
  <c r="W412" i="46" s="1" a="1"/>
  <c r="W412" i="46" s="1"/>
  <c r="R412" i="46"/>
  <c r="X412" i="46" s="1" a="1"/>
  <c r="X412" i="46" s="1"/>
  <c r="S412" i="46"/>
  <c r="Y412" i="46" s="1" a="1"/>
  <c r="Y412" i="46" s="1"/>
  <c r="T412" i="46"/>
  <c r="Z412" i="46" s="1" a="1"/>
  <c r="Z412" i="46" s="1"/>
  <c r="U412" i="46"/>
  <c r="AA412" i="46" s="1" a="1"/>
  <c r="AA412" i="46" s="1"/>
  <c r="Q413" i="46"/>
  <c r="W413" i="46" s="1" a="1"/>
  <c r="W413" i="46" s="1"/>
  <c r="R413" i="46"/>
  <c r="X413" i="46" s="1" a="1"/>
  <c r="X413" i="46" s="1"/>
  <c r="S413" i="46"/>
  <c r="Y413" i="46" s="1" a="1"/>
  <c r="Y413" i="46" s="1"/>
  <c r="T413" i="46"/>
  <c r="Z413" i="46" s="1" a="1"/>
  <c r="Z413" i="46" s="1"/>
  <c r="U413" i="46"/>
  <c r="AA413" i="46" s="1" a="1"/>
  <c r="AA413" i="46" s="1"/>
  <c r="Q414" i="46"/>
  <c r="W414" i="46" s="1" a="1"/>
  <c r="W414" i="46" s="1"/>
  <c r="R414" i="46"/>
  <c r="X414" i="46" s="1" a="1"/>
  <c r="X414" i="46" s="1"/>
  <c r="S414" i="46"/>
  <c r="Y414" i="46" s="1" a="1"/>
  <c r="Y414" i="46" s="1"/>
  <c r="T414" i="46"/>
  <c r="Z414" i="46" s="1" a="1"/>
  <c r="Z414" i="46" s="1"/>
  <c r="U414" i="46"/>
  <c r="AA414" i="46" s="1" a="1"/>
  <c r="AA414" i="46" s="1"/>
  <c r="Q415" i="46"/>
  <c r="W415" i="46" s="1" a="1"/>
  <c r="W415" i="46" s="1"/>
  <c r="R415" i="46"/>
  <c r="X415" i="46" s="1" a="1"/>
  <c r="X415" i="46" s="1"/>
  <c r="S415" i="46"/>
  <c r="Y415" i="46" s="1" a="1"/>
  <c r="Y415" i="46" s="1"/>
  <c r="T415" i="46"/>
  <c r="Z415" i="46" s="1" a="1"/>
  <c r="Z415" i="46" s="1"/>
  <c r="U415" i="46"/>
  <c r="AA415" i="46" s="1" a="1"/>
  <c r="AA415" i="46" s="1"/>
  <c r="Q416" i="46"/>
  <c r="W416" i="46" s="1" a="1"/>
  <c r="W416" i="46" s="1"/>
  <c r="R416" i="46"/>
  <c r="X416" i="46" s="1" a="1"/>
  <c r="X416" i="46" s="1"/>
  <c r="S416" i="46"/>
  <c r="Y416" i="46" s="1" a="1"/>
  <c r="Y416" i="46" s="1"/>
  <c r="T416" i="46"/>
  <c r="Z416" i="46" s="1" a="1"/>
  <c r="Z416" i="46" s="1"/>
  <c r="U416" i="46"/>
  <c r="AA416" i="46" s="1" a="1"/>
  <c r="AA416" i="46" s="1"/>
  <c r="Q417" i="46"/>
  <c r="W417" i="46" s="1" a="1"/>
  <c r="W417" i="46" s="1"/>
  <c r="R417" i="46"/>
  <c r="X417" i="46" s="1" a="1"/>
  <c r="X417" i="46" s="1"/>
  <c r="S417" i="46"/>
  <c r="Y417" i="46" s="1" a="1"/>
  <c r="Y417" i="46" s="1"/>
  <c r="T417" i="46"/>
  <c r="Z417" i="46" s="1" a="1"/>
  <c r="Z417" i="46" s="1"/>
  <c r="U417" i="46"/>
  <c r="AA417" i="46" s="1" a="1"/>
  <c r="AA417" i="46" s="1"/>
  <c r="Q418" i="46"/>
  <c r="W418" i="46" s="1" a="1"/>
  <c r="W418" i="46" s="1"/>
  <c r="R418" i="46"/>
  <c r="X418" i="46" s="1" a="1"/>
  <c r="X418" i="46" s="1"/>
  <c r="S418" i="46"/>
  <c r="Y418" i="46" s="1" a="1"/>
  <c r="Y418" i="46" s="1"/>
  <c r="T418" i="46"/>
  <c r="Z418" i="46" s="1" a="1"/>
  <c r="Z418" i="46" s="1"/>
  <c r="U418" i="46"/>
  <c r="AA418" i="46" s="1" a="1"/>
  <c r="AA418" i="46" s="1"/>
  <c r="Q419" i="46"/>
  <c r="W419" i="46" s="1" a="1"/>
  <c r="W419" i="46" s="1"/>
  <c r="R419" i="46"/>
  <c r="X419" i="46" s="1" a="1"/>
  <c r="X419" i="46" s="1"/>
  <c r="S419" i="46"/>
  <c r="Y419" i="46" s="1" a="1"/>
  <c r="Y419" i="46" s="1"/>
  <c r="T419" i="46"/>
  <c r="Z419" i="46" s="1" a="1"/>
  <c r="Z419" i="46" s="1"/>
  <c r="U419" i="46"/>
  <c r="AA419" i="46" s="1" a="1"/>
  <c r="AA419" i="46" s="1"/>
  <c r="Q420" i="46"/>
  <c r="W420" i="46" s="1" a="1"/>
  <c r="W420" i="46" s="1"/>
  <c r="R420" i="46"/>
  <c r="X420" i="46" s="1" a="1"/>
  <c r="X420" i="46" s="1"/>
  <c r="S420" i="46"/>
  <c r="Y420" i="46" s="1" a="1"/>
  <c r="Y420" i="46" s="1"/>
  <c r="T420" i="46"/>
  <c r="Z420" i="46" s="1" a="1"/>
  <c r="Z420" i="46" s="1"/>
  <c r="U420" i="46"/>
  <c r="AA420" i="46" s="1" a="1"/>
  <c r="AA420" i="46" s="1"/>
  <c r="Q421" i="46"/>
  <c r="W421" i="46" s="1" a="1"/>
  <c r="W421" i="46" s="1"/>
  <c r="R421" i="46"/>
  <c r="X421" i="46" s="1" a="1"/>
  <c r="X421" i="46" s="1"/>
  <c r="S421" i="46"/>
  <c r="Y421" i="46" s="1" a="1"/>
  <c r="Y421" i="46" s="1"/>
  <c r="T421" i="46"/>
  <c r="Z421" i="46" s="1" a="1"/>
  <c r="Z421" i="46" s="1"/>
  <c r="U421" i="46"/>
  <c r="AA421" i="46" s="1" a="1"/>
  <c r="AA421" i="46" s="1"/>
  <c r="Q422" i="46"/>
  <c r="W422" i="46" s="1" a="1"/>
  <c r="W422" i="46" s="1"/>
  <c r="R422" i="46"/>
  <c r="X422" i="46" s="1" a="1"/>
  <c r="X422" i="46" s="1"/>
  <c r="S422" i="46"/>
  <c r="Y422" i="46" s="1" a="1"/>
  <c r="Y422" i="46" s="1"/>
  <c r="T422" i="46"/>
  <c r="Z422" i="46" s="1" a="1"/>
  <c r="Z422" i="46" s="1"/>
  <c r="U422" i="46"/>
  <c r="AA422" i="46" s="1" a="1"/>
  <c r="AA422" i="46" s="1"/>
  <c r="Q423" i="46"/>
  <c r="W423" i="46" s="1" a="1"/>
  <c r="W423" i="46" s="1"/>
  <c r="R423" i="46"/>
  <c r="X423" i="46" s="1" a="1"/>
  <c r="X423" i="46" s="1"/>
  <c r="S423" i="46"/>
  <c r="Y423" i="46" s="1" a="1"/>
  <c r="Y423" i="46" s="1"/>
  <c r="T423" i="46"/>
  <c r="Z423" i="46" s="1" a="1"/>
  <c r="Z423" i="46" s="1"/>
  <c r="U423" i="46"/>
  <c r="AA423" i="46" s="1" a="1"/>
  <c r="AA423" i="46" s="1"/>
  <c r="Q424" i="46"/>
  <c r="W424" i="46" s="1" a="1"/>
  <c r="W424" i="46" s="1"/>
  <c r="R424" i="46"/>
  <c r="X424" i="46" s="1" a="1"/>
  <c r="X424" i="46" s="1"/>
  <c r="S424" i="46"/>
  <c r="Y424" i="46" s="1" a="1"/>
  <c r="Y424" i="46" s="1"/>
  <c r="T424" i="46"/>
  <c r="Z424" i="46" s="1" a="1"/>
  <c r="Z424" i="46" s="1"/>
  <c r="U424" i="46"/>
  <c r="AA424" i="46" s="1" a="1"/>
  <c r="AA424" i="46" s="1"/>
  <c r="Q425" i="46"/>
  <c r="W425" i="46" s="1" a="1"/>
  <c r="W425" i="46" s="1"/>
  <c r="R425" i="46"/>
  <c r="X425" i="46" s="1" a="1"/>
  <c r="X425" i="46" s="1"/>
  <c r="S425" i="46"/>
  <c r="Y425" i="46" s="1" a="1"/>
  <c r="Y425" i="46" s="1"/>
  <c r="T425" i="46"/>
  <c r="Z425" i="46" s="1" a="1"/>
  <c r="Z425" i="46" s="1"/>
  <c r="U425" i="46"/>
  <c r="AA425" i="46" s="1" a="1"/>
  <c r="AA425" i="46" s="1"/>
  <c r="Q426" i="46"/>
  <c r="W426" i="46" s="1" a="1"/>
  <c r="W426" i="46" s="1"/>
  <c r="R426" i="46"/>
  <c r="X426" i="46" s="1" a="1"/>
  <c r="X426" i="46" s="1"/>
  <c r="S426" i="46"/>
  <c r="Y426" i="46" s="1" a="1"/>
  <c r="Y426" i="46" s="1"/>
  <c r="T426" i="46"/>
  <c r="Z426" i="46" s="1" a="1"/>
  <c r="Z426" i="46" s="1"/>
  <c r="U426" i="46"/>
  <c r="AA426" i="46" s="1" a="1"/>
  <c r="AA426" i="46" s="1"/>
  <c r="Q427" i="46"/>
  <c r="W427" i="46" s="1" a="1"/>
  <c r="W427" i="46" s="1"/>
  <c r="R427" i="46"/>
  <c r="X427" i="46" s="1" a="1"/>
  <c r="X427" i="46" s="1"/>
  <c r="S427" i="46"/>
  <c r="Y427" i="46" s="1" a="1"/>
  <c r="Y427" i="46" s="1"/>
  <c r="T427" i="46"/>
  <c r="Z427" i="46" s="1" a="1"/>
  <c r="Z427" i="46" s="1"/>
  <c r="U427" i="46"/>
  <c r="AA427" i="46" s="1" a="1"/>
  <c r="AA427" i="46" s="1"/>
  <c r="Q428" i="46"/>
  <c r="W428" i="46" s="1" a="1"/>
  <c r="W428" i="46" s="1"/>
  <c r="R428" i="46"/>
  <c r="X428" i="46" s="1" a="1"/>
  <c r="X428" i="46" s="1"/>
  <c r="S428" i="46"/>
  <c r="Y428" i="46" s="1" a="1"/>
  <c r="Y428" i="46" s="1"/>
  <c r="T428" i="46"/>
  <c r="Z428" i="46" s="1" a="1"/>
  <c r="Z428" i="46" s="1"/>
  <c r="U428" i="46"/>
  <c r="AA428" i="46" s="1" a="1"/>
  <c r="AA428" i="46" s="1"/>
  <c r="Q429" i="46"/>
  <c r="W429" i="46" s="1" a="1"/>
  <c r="W429" i="46" s="1"/>
  <c r="R429" i="46"/>
  <c r="X429" i="46" s="1" a="1"/>
  <c r="X429" i="46" s="1"/>
  <c r="S429" i="46"/>
  <c r="Y429" i="46" s="1" a="1"/>
  <c r="Y429" i="46" s="1"/>
  <c r="T429" i="46"/>
  <c r="Z429" i="46" s="1" a="1"/>
  <c r="Z429" i="46" s="1"/>
  <c r="U429" i="46"/>
  <c r="AA429" i="46" s="1" a="1"/>
  <c r="AA429" i="46" s="1"/>
  <c r="Q430" i="46"/>
  <c r="W430" i="46" s="1" a="1"/>
  <c r="W430" i="46" s="1"/>
  <c r="R430" i="46"/>
  <c r="X430" i="46" s="1" a="1"/>
  <c r="X430" i="46" s="1"/>
  <c r="S430" i="46"/>
  <c r="Y430" i="46" s="1" a="1"/>
  <c r="Y430" i="46" s="1"/>
  <c r="T430" i="46"/>
  <c r="Z430" i="46" s="1" a="1"/>
  <c r="Z430" i="46" s="1"/>
  <c r="U430" i="46"/>
  <c r="AA430" i="46" s="1" a="1"/>
  <c r="AA430" i="46" s="1"/>
  <c r="Q431" i="46"/>
  <c r="W431" i="46" s="1" a="1"/>
  <c r="W431" i="46" s="1"/>
  <c r="R431" i="46"/>
  <c r="X431" i="46" s="1" a="1"/>
  <c r="X431" i="46" s="1"/>
  <c r="S431" i="46"/>
  <c r="Y431" i="46" s="1" a="1"/>
  <c r="Y431" i="46" s="1"/>
  <c r="T431" i="46"/>
  <c r="Z431" i="46" s="1" a="1"/>
  <c r="Z431" i="46" s="1"/>
  <c r="U431" i="46"/>
  <c r="AA431" i="46" s="1" a="1"/>
  <c r="AA431" i="46" s="1"/>
  <c r="Q432" i="46"/>
  <c r="W432" i="46" s="1" a="1"/>
  <c r="W432" i="46" s="1"/>
  <c r="R432" i="46"/>
  <c r="X432" i="46" s="1" a="1"/>
  <c r="X432" i="46" s="1"/>
  <c r="S432" i="46"/>
  <c r="Y432" i="46" s="1" a="1"/>
  <c r="Y432" i="46" s="1"/>
  <c r="T432" i="46"/>
  <c r="Z432" i="46" s="1" a="1"/>
  <c r="Z432" i="46" s="1"/>
  <c r="U432" i="46"/>
  <c r="AA432" i="46" s="1" a="1"/>
  <c r="AA432" i="46" s="1"/>
  <c r="Q433" i="46"/>
  <c r="W433" i="46" s="1" a="1"/>
  <c r="W433" i="46" s="1"/>
  <c r="R433" i="46"/>
  <c r="X433" i="46" s="1" a="1"/>
  <c r="X433" i="46" s="1"/>
  <c r="S433" i="46"/>
  <c r="Y433" i="46" s="1" a="1"/>
  <c r="Y433" i="46" s="1"/>
  <c r="T433" i="46"/>
  <c r="Z433" i="46" s="1" a="1"/>
  <c r="Z433" i="46" s="1"/>
  <c r="U433" i="46"/>
  <c r="AA433" i="46" s="1" a="1"/>
  <c r="AA433" i="46" s="1"/>
  <c r="Q434" i="46"/>
  <c r="W434" i="46" s="1" a="1"/>
  <c r="W434" i="46" s="1"/>
  <c r="R434" i="46"/>
  <c r="X434" i="46" s="1" a="1"/>
  <c r="X434" i="46" s="1"/>
  <c r="S434" i="46"/>
  <c r="Y434" i="46" s="1" a="1"/>
  <c r="Y434" i="46" s="1"/>
  <c r="T434" i="46"/>
  <c r="Z434" i="46" s="1" a="1"/>
  <c r="Z434" i="46" s="1"/>
  <c r="U434" i="46"/>
  <c r="AA434" i="46" s="1" a="1"/>
  <c r="AA434" i="46" s="1"/>
  <c r="Q435" i="46"/>
  <c r="W435" i="46" s="1" a="1"/>
  <c r="W435" i="46" s="1"/>
  <c r="R435" i="46"/>
  <c r="X435" i="46" s="1" a="1"/>
  <c r="X435" i="46" s="1"/>
  <c r="S435" i="46"/>
  <c r="Y435" i="46" s="1" a="1"/>
  <c r="Y435" i="46" s="1"/>
  <c r="T435" i="46"/>
  <c r="Z435" i="46" s="1" a="1"/>
  <c r="Z435" i="46" s="1"/>
  <c r="U435" i="46"/>
  <c r="AA435" i="46" s="1" a="1"/>
  <c r="AA435" i="46" s="1"/>
  <c r="Q436" i="46"/>
  <c r="W436" i="46" s="1" a="1"/>
  <c r="W436" i="46" s="1"/>
  <c r="R436" i="46"/>
  <c r="X436" i="46" s="1" a="1"/>
  <c r="X436" i="46" s="1"/>
  <c r="S436" i="46"/>
  <c r="Y436" i="46" s="1" a="1"/>
  <c r="Y436" i="46" s="1"/>
  <c r="T436" i="46"/>
  <c r="Z436" i="46" s="1" a="1"/>
  <c r="Z436" i="46" s="1"/>
  <c r="U436" i="46"/>
  <c r="AA436" i="46" s="1" a="1"/>
  <c r="AA436" i="46" s="1"/>
  <c r="Q437" i="46"/>
  <c r="W437" i="46" s="1" a="1"/>
  <c r="W437" i="46" s="1"/>
  <c r="R437" i="46"/>
  <c r="X437" i="46" s="1" a="1"/>
  <c r="X437" i="46" s="1"/>
  <c r="S437" i="46"/>
  <c r="Y437" i="46" s="1" a="1"/>
  <c r="Y437" i="46" s="1"/>
  <c r="T437" i="46"/>
  <c r="Z437" i="46" s="1" a="1"/>
  <c r="Z437" i="46" s="1"/>
  <c r="U437" i="46"/>
  <c r="AA437" i="46" s="1" a="1"/>
  <c r="AA437" i="46" s="1"/>
  <c r="Q438" i="46"/>
  <c r="W438" i="46" s="1" a="1"/>
  <c r="W438" i="46" s="1"/>
  <c r="R438" i="46"/>
  <c r="X438" i="46" s="1" a="1"/>
  <c r="X438" i="46" s="1"/>
  <c r="S438" i="46"/>
  <c r="Y438" i="46" s="1" a="1"/>
  <c r="Y438" i="46" s="1"/>
  <c r="T438" i="46"/>
  <c r="Z438" i="46" s="1" a="1"/>
  <c r="Z438" i="46" s="1"/>
  <c r="U438" i="46"/>
  <c r="AA438" i="46" s="1" a="1"/>
  <c r="AA438" i="46" s="1"/>
  <c r="Q439" i="46"/>
  <c r="W439" i="46" s="1" a="1"/>
  <c r="W439" i="46" s="1"/>
  <c r="R439" i="46"/>
  <c r="X439" i="46" s="1" a="1"/>
  <c r="X439" i="46" s="1"/>
  <c r="S439" i="46"/>
  <c r="Y439" i="46" s="1" a="1"/>
  <c r="Y439" i="46" s="1"/>
  <c r="T439" i="46"/>
  <c r="Z439" i="46" s="1" a="1"/>
  <c r="Z439" i="46" s="1"/>
  <c r="U439" i="46"/>
  <c r="AA439" i="46" s="1" a="1"/>
  <c r="AA439" i="46" s="1"/>
  <c r="Q440" i="46"/>
  <c r="W440" i="46" s="1" a="1"/>
  <c r="W440" i="46" s="1"/>
  <c r="R440" i="46"/>
  <c r="X440" i="46" s="1" a="1"/>
  <c r="X440" i="46" s="1"/>
  <c r="S440" i="46"/>
  <c r="Y440" i="46" s="1" a="1"/>
  <c r="Y440" i="46" s="1"/>
  <c r="T440" i="46"/>
  <c r="Z440" i="46" s="1" a="1"/>
  <c r="Z440" i="46" s="1"/>
  <c r="U440" i="46"/>
  <c r="AA440" i="46" s="1" a="1"/>
  <c r="AA440" i="46" s="1"/>
  <c r="Q441" i="46"/>
  <c r="W441" i="46" s="1" a="1"/>
  <c r="W441" i="46" s="1"/>
  <c r="R441" i="46"/>
  <c r="X441" i="46" s="1" a="1"/>
  <c r="X441" i="46" s="1"/>
  <c r="S441" i="46"/>
  <c r="Y441" i="46" s="1" a="1"/>
  <c r="Y441" i="46" s="1"/>
  <c r="T441" i="46"/>
  <c r="Z441" i="46" s="1" a="1"/>
  <c r="Z441" i="46" s="1"/>
  <c r="U441" i="46"/>
  <c r="AA441" i="46" s="1" a="1"/>
  <c r="AA441" i="46" s="1"/>
  <c r="Q442" i="46"/>
  <c r="W442" i="46" s="1" a="1"/>
  <c r="W442" i="46" s="1"/>
  <c r="R442" i="46"/>
  <c r="X442" i="46" s="1" a="1"/>
  <c r="X442" i="46" s="1"/>
  <c r="S442" i="46"/>
  <c r="Y442" i="46" s="1" a="1"/>
  <c r="Y442" i="46" s="1"/>
  <c r="T442" i="46"/>
  <c r="Z442" i="46" s="1" a="1"/>
  <c r="Z442" i="46" s="1"/>
  <c r="U442" i="46"/>
  <c r="AA442" i="46" s="1" a="1"/>
  <c r="AA442" i="46" s="1"/>
  <c r="Q14" i="46"/>
  <c r="W14" i="46" s="1" a="1"/>
  <c r="W14" i="46" s="1"/>
  <c r="Q13" i="46"/>
  <c r="W13" i="46" s="1" a="1"/>
  <c r="W13" i="46" s="1"/>
  <c r="N19" i="39" l="1"/>
  <c r="Q19" i="39" s="1"/>
  <c r="AH423" i="46"/>
  <c r="R13" i="46"/>
  <c r="X13" i="46" s="1" a="1"/>
  <c r="X13" i="46" s="1"/>
  <c r="S13" i="46"/>
  <c r="Y13" i="46" s="1" a="1"/>
  <c r="Y13" i="46" s="1"/>
  <c r="T13" i="46"/>
  <c r="Z13" i="46" s="1" a="1"/>
  <c r="Z13" i="46" s="1"/>
  <c r="U13" i="46"/>
  <c r="AA13" i="46" s="1" a="1"/>
  <c r="AA13" i="46" s="1"/>
  <c r="AH440" i="46"/>
  <c r="AH430" i="46"/>
  <c r="AH429" i="46"/>
  <c r="AH428" i="46"/>
  <c r="AH426" i="46"/>
  <c r="AH424" i="46"/>
  <c r="AH417" i="46"/>
  <c r="AH413" i="46"/>
  <c r="AH411" i="46"/>
  <c r="AH408" i="46"/>
  <c r="AH404" i="46"/>
  <c r="AH401" i="46"/>
  <c r="AH393" i="46"/>
  <c r="AH390" i="46"/>
  <c r="AH385" i="46"/>
  <c r="AH379" i="46"/>
  <c r="AH374" i="46"/>
  <c r="M443" i="46"/>
  <c r="P13" i="46"/>
  <c r="P14" i="46"/>
  <c r="P15" i="46"/>
  <c r="P16" i="46"/>
  <c r="P17" i="46"/>
  <c r="P18" i="46"/>
  <c r="P19" i="46"/>
  <c r="P20" i="46"/>
  <c r="P21" i="46"/>
  <c r="P22" i="46"/>
  <c r="P23" i="46"/>
  <c r="P24" i="46"/>
  <c r="P25" i="46"/>
  <c r="P26" i="46"/>
  <c r="P27" i="46"/>
  <c r="P28" i="46"/>
  <c r="P29" i="46"/>
  <c r="P30" i="46"/>
  <c r="P31" i="46"/>
  <c r="P32" i="46"/>
  <c r="P33" i="46"/>
  <c r="P34" i="46"/>
  <c r="P35" i="46"/>
  <c r="P36" i="46"/>
  <c r="P37" i="46"/>
  <c r="P38" i="46"/>
  <c r="P39" i="46"/>
  <c r="P40" i="46"/>
  <c r="P41" i="46"/>
  <c r="P42" i="46"/>
  <c r="P43" i="46"/>
  <c r="P44" i="46"/>
  <c r="P45" i="46"/>
  <c r="P46" i="46"/>
  <c r="P47" i="46"/>
  <c r="P48" i="46"/>
  <c r="P49" i="46"/>
  <c r="P50" i="46"/>
  <c r="P51" i="46"/>
  <c r="P52" i="46"/>
  <c r="P53" i="46"/>
  <c r="P54" i="46"/>
  <c r="P55" i="46"/>
  <c r="P56" i="46"/>
  <c r="P57" i="46"/>
  <c r="P58" i="46"/>
  <c r="P59" i="46"/>
  <c r="P60" i="46"/>
  <c r="P61" i="46"/>
  <c r="P62" i="46"/>
  <c r="P63" i="46"/>
  <c r="P64" i="46"/>
  <c r="P65" i="46"/>
  <c r="P66" i="46"/>
  <c r="P67" i="46"/>
  <c r="P68" i="46"/>
  <c r="P69" i="46"/>
  <c r="P70" i="46"/>
  <c r="P71" i="46"/>
  <c r="P72" i="46"/>
  <c r="P73" i="46"/>
  <c r="P74" i="46"/>
  <c r="P75" i="46"/>
  <c r="P76" i="46"/>
  <c r="P77" i="46"/>
  <c r="P78" i="46"/>
  <c r="P79" i="46"/>
  <c r="P80" i="46"/>
  <c r="P81" i="46"/>
  <c r="P82" i="46"/>
  <c r="P83" i="46"/>
  <c r="P84" i="46"/>
  <c r="P85" i="46"/>
  <c r="P86" i="46"/>
  <c r="P87" i="46"/>
  <c r="P88" i="46"/>
  <c r="P89" i="46"/>
  <c r="P90" i="46"/>
  <c r="P91" i="46"/>
  <c r="P92" i="46"/>
  <c r="P93" i="46"/>
  <c r="P94" i="46"/>
  <c r="P95" i="46"/>
  <c r="P96" i="46"/>
  <c r="P97" i="46"/>
  <c r="P98" i="46"/>
  <c r="P99" i="46"/>
  <c r="P100" i="46"/>
  <c r="P101" i="46"/>
  <c r="P102" i="46"/>
  <c r="P103" i="46"/>
  <c r="P104" i="46"/>
  <c r="P105" i="46"/>
  <c r="P106" i="46"/>
  <c r="P107" i="46"/>
  <c r="P108" i="46"/>
  <c r="P109" i="46"/>
  <c r="P110" i="46"/>
  <c r="P111" i="46"/>
  <c r="P112" i="46"/>
  <c r="P113" i="46"/>
  <c r="P114" i="46"/>
  <c r="P115" i="46"/>
  <c r="P116" i="46"/>
  <c r="P117" i="46"/>
  <c r="P118" i="46"/>
  <c r="P119" i="46"/>
  <c r="P120" i="46"/>
  <c r="P121" i="46"/>
  <c r="P122" i="46"/>
  <c r="P123" i="46"/>
  <c r="P124" i="46"/>
  <c r="P125" i="46"/>
  <c r="P126" i="46"/>
  <c r="P127" i="46"/>
  <c r="P128" i="46"/>
  <c r="P129" i="46"/>
  <c r="P130" i="46"/>
  <c r="P131" i="46"/>
  <c r="P132" i="46"/>
  <c r="P133" i="46"/>
  <c r="P134" i="46"/>
  <c r="P135" i="46"/>
  <c r="P136" i="46"/>
  <c r="P137" i="46"/>
  <c r="P138" i="46"/>
  <c r="P139" i="46"/>
  <c r="P140" i="46"/>
  <c r="P141" i="46"/>
  <c r="P142" i="46"/>
  <c r="P143" i="46"/>
  <c r="P144" i="46"/>
  <c r="P145" i="46"/>
  <c r="P146" i="46"/>
  <c r="P147" i="46"/>
  <c r="P148" i="46"/>
  <c r="P149" i="46"/>
  <c r="P150" i="46"/>
  <c r="P151" i="46"/>
  <c r="P152" i="46"/>
  <c r="P153" i="46"/>
  <c r="P154" i="46"/>
  <c r="P155" i="46"/>
  <c r="P156" i="46"/>
  <c r="P157" i="46"/>
  <c r="P158" i="46"/>
  <c r="P159" i="46"/>
  <c r="P160" i="46"/>
  <c r="P161" i="46"/>
  <c r="P162" i="46"/>
  <c r="P163" i="46"/>
  <c r="P164" i="46"/>
  <c r="P165" i="46"/>
  <c r="P166" i="46"/>
  <c r="P167" i="46"/>
  <c r="P168" i="46"/>
  <c r="P169" i="46"/>
  <c r="P170" i="46"/>
  <c r="P171" i="46"/>
  <c r="P172" i="46"/>
  <c r="P173" i="46"/>
  <c r="P174" i="46"/>
  <c r="P175" i="46"/>
  <c r="P176" i="46"/>
  <c r="P177" i="46"/>
  <c r="P178" i="46"/>
  <c r="P179" i="46"/>
  <c r="P180" i="46"/>
  <c r="P181" i="46"/>
  <c r="P182" i="46"/>
  <c r="P183" i="46"/>
  <c r="P184" i="46"/>
  <c r="P185" i="46"/>
  <c r="P186" i="46"/>
  <c r="P187" i="46"/>
  <c r="P188" i="46"/>
  <c r="P189" i="46"/>
  <c r="P190" i="46"/>
  <c r="P191" i="46"/>
  <c r="P192" i="46"/>
  <c r="P193" i="46"/>
  <c r="P194" i="46"/>
  <c r="P195" i="46"/>
  <c r="P196" i="46"/>
  <c r="P197" i="46"/>
  <c r="P198" i="46"/>
  <c r="P199" i="46"/>
  <c r="P200" i="46"/>
  <c r="P201" i="46"/>
  <c r="P202" i="46"/>
  <c r="P203" i="46"/>
  <c r="P204" i="46"/>
  <c r="P205" i="46"/>
  <c r="P206" i="46"/>
  <c r="P207" i="46"/>
  <c r="P208" i="46"/>
  <c r="P209" i="46"/>
  <c r="P210" i="46"/>
  <c r="P211" i="46"/>
  <c r="P212" i="46"/>
  <c r="P213" i="46"/>
  <c r="P214" i="46"/>
  <c r="P215" i="46"/>
  <c r="P216" i="46"/>
  <c r="P217" i="46"/>
  <c r="P218" i="46"/>
  <c r="P219" i="46"/>
  <c r="P220" i="46"/>
  <c r="P221" i="46"/>
  <c r="P222" i="46"/>
  <c r="P223" i="46"/>
  <c r="P224" i="46"/>
  <c r="P225" i="46"/>
  <c r="P226" i="46"/>
  <c r="P227" i="46"/>
  <c r="P228" i="46"/>
  <c r="P229" i="46"/>
  <c r="P230" i="46"/>
  <c r="P231" i="46"/>
  <c r="P232" i="46"/>
  <c r="P233" i="46"/>
  <c r="P234" i="46"/>
  <c r="P235" i="46"/>
  <c r="P236" i="46"/>
  <c r="P237" i="46"/>
  <c r="P238" i="46"/>
  <c r="P239" i="46"/>
  <c r="P240" i="46"/>
  <c r="P241" i="46"/>
  <c r="P242" i="46"/>
  <c r="P243" i="46"/>
  <c r="P244" i="46"/>
  <c r="P245" i="46"/>
  <c r="P246" i="46"/>
  <c r="P247" i="46"/>
  <c r="P248" i="46"/>
  <c r="P249" i="46"/>
  <c r="P250" i="46"/>
  <c r="P251" i="46"/>
  <c r="P252" i="46"/>
  <c r="P253" i="46"/>
  <c r="P254" i="46"/>
  <c r="P255" i="46"/>
  <c r="P256" i="46"/>
  <c r="P257" i="46"/>
  <c r="P258" i="46"/>
  <c r="P259" i="46"/>
  <c r="P260" i="46"/>
  <c r="P261" i="46"/>
  <c r="P262" i="46"/>
  <c r="P263" i="46"/>
  <c r="P264" i="46"/>
  <c r="P265" i="46"/>
  <c r="P266" i="46"/>
  <c r="P267" i="46"/>
  <c r="P268" i="46"/>
  <c r="P269" i="46"/>
  <c r="P270" i="46"/>
  <c r="P271" i="46"/>
  <c r="P272" i="46"/>
  <c r="P273" i="46"/>
  <c r="P274" i="46"/>
  <c r="P275" i="46"/>
  <c r="P276" i="46"/>
  <c r="P277" i="46"/>
  <c r="P278" i="46"/>
  <c r="P279" i="46"/>
  <c r="P280" i="46"/>
  <c r="P281" i="46"/>
  <c r="P282" i="46"/>
  <c r="P283" i="46"/>
  <c r="P284" i="46"/>
  <c r="P285" i="46"/>
  <c r="P286" i="46"/>
  <c r="P287" i="46"/>
  <c r="P288" i="46"/>
  <c r="P289" i="46"/>
  <c r="P290" i="46"/>
  <c r="P291" i="46"/>
  <c r="P292" i="46"/>
  <c r="P293" i="46"/>
  <c r="P294" i="46"/>
  <c r="P295" i="46"/>
  <c r="P296" i="46"/>
  <c r="P297" i="46"/>
  <c r="P298" i="46"/>
  <c r="P299" i="46"/>
  <c r="P300" i="46"/>
  <c r="P301" i="46"/>
  <c r="P302" i="46"/>
  <c r="P303" i="46"/>
  <c r="P304" i="46"/>
  <c r="P305" i="46"/>
  <c r="P306" i="46"/>
  <c r="P307" i="46"/>
  <c r="P308" i="46"/>
  <c r="P309" i="46"/>
  <c r="P310" i="46"/>
  <c r="P311" i="46"/>
  <c r="P312" i="46"/>
  <c r="P313" i="46"/>
  <c r="P314" i="46"/>
  <c r="P315" i="46"/>
  <c r="P316" i="46"/>
  <c r="P317" i="46"/>
  <c r="P318" i="46"/>
  <c r="P319" i="46"/>
  <c r="P320" i="46"/>
  <c r="P321" i="46"/>
  <c r="P322" i="46"/>
  <c r="P323" i="46"/>
  <c r="P324" i="46"/>
  <c r="P325" i="46"/>
  <c r="P326" i="46"/>
  <c r="P327" i="46"/>
  <c r="P328" i="46"/>
  <c r="P329" i="46"/>
  <c r="P330" i="46"/>
  <c r="P331" i="46"/>
  <c r="P332" i="46"/>
  <c r="P333" i="46"/>
  <c r="P334" i="46"/>
  <c r="P335" i="46"/>
  <c r="P336" i="46"/>
  <c r="P337" i="46"/>
  <c r="P338" i="46"/>
  <c r="P339" i="46"/>
  <c r="P340" i="46"/>
  <c r="P341" i="46"/>
  <c r="P342" i="46"/>
  <c r="P343" i="46"/>
  <c r="P344" i="46"/>
  <c r="P345" i="46"/>
  <c r="P346" i="46"/>
  <c r="P347" i="46"/>
  <c r="P348" i="46"/>
  <c r="P349" i="46"/>
  <c r="P350" i="46"/>
  <c r="P351" i="46"/>
  <c r="P352" i="46"/>
  <c r="P353" i="46"/>
  <c r="P354" i="46"/>
  <c r="P355" i="46"/>
  <c r="P356" i="46"/>
  <c r="P357" i="46"/>
  <c r="P358" i="46"/>
  <c r="P359" i="46"/>
  <c r="P360" i="46"/>
  <c r="P361" i="46"/>
  <c r="P362" i="46"/>
  <c r="P363" i="46"/>
  <c r="P364" i="46"/>
  <c r="P365" i="46"/>
  <c r="P366" i="46"/>
  <c r="P367" i="46"/>
  <c r="P368" i="46"/>
  <c r="P369" i="46"/>
  <c r="P370" i="46"/>
  <c r="P371" i="46"/>
  <c r="P372" i="46"/>
  <c r="P373" i="46"/>
  <c r="P374" i="46"/>
  <c r="P375" i="46"/>
  <c r="P376" i="46"/>
  <c r="P377" i="46"/>
  <c r="P378" i="46"/>
  <c r="P379" i="46"/>
  <c r="P380" i="46"/>
  <c r="P381" i="46"/>
  <c r="P382" i="46"/>
  <c r="P383" i="46"/>
  <c r="P384" i="46"/>
  <c r="P385" i="46"/>
  <c r="P386" i="46"/>
  <c r="P387" i="46"/>
  <c r="P388" i="46"/>
  <c r="P389" i="46"/>
  <c r="P390" i="46"/>
  <c r="P391" i="46"/>
  <c r="P392" i="46"/>
  <c r="P393" i="46"/>
  <c r="P394" i="46"/>
  <c r="P395" i="46"/>
  <c r="P396" i="46"/>
  <c r="P397" i="46"/>
  <c r="P398" i="46"/>
  <c r="P399" i="46"/>
  <c r="P400" i="46"/>
  <c r="P401" i="46"/>
  <c r="P402" i="46"/>
  <c r="P403" i="46"/>
  <c r="P404" i="46"/>
  <c r="P405" i="46"/>
  <c r="P406" i="46"/>
  <c r="P407" i="46"/>
  <c r="P408" i="46"/>
  <c r="P409" i="46"/>
  <c r="P410" i="46"/>
  <c r="P411" i="46"/>
  <c r="P412" i="46"/>
  <c r="P413" i="46"/>
  <c r="P414" i="46"/>
  <c r="P415" i="46"/>
  <c r="P416" i="46"/>
  <c r="P417" i="46"/>
  <c r="P418" i="46"/>
  <c r="P419" i="46"/>
  <c r="P420" i="46"/>
  <c r="P421" i="46"/>
  <c r="P422" i="46"/>
  <c r="P423" i="46"/>
  <c r="P424" i="46"/>
  <c r="P425" i="46"/>
  <c r="P426" i="46"/>
  <c r="P427" i="46"/>
  <c r="P428" i="46"/>
  <c r="P429" i="46"/>
  <c r="P430" i="46"/>
  <c r="P431" i="46"/>
  <c r="P432" i="46"/>
  <c r="P433" i="46"/>
  <c r="P434" i="46"/>
  <c r="P435" i="46"/>
  <c r="P436" i="46"/>
  <c r="P437" i="46"/>
  <c r="P438" i="46"/>
  <c r="P439" i="46"/>
  <c r="P440" i="46"/>
  <c r="P441" i="46"/>
  <c r="P442" i="46"/>
  <c r="I28" i="46"/>
  <c r="I29" i="46"/>
  <c r="I30" i="46"/>
  <c r="I31" i="46"/>
  <c r="I32" i="46"/>
  <c r="I33" i="46"/>
  <c r="I34" i="46"/>
  <c r="I35" i="46"/>
  <c r="I36" i="46"/>
  <c r="I37" i="46"/>
  <c r="I38" i="46"/>
  <c r="I39" i="46"/>
  <c r="I40" i="46"/>
  <c r="I41" i="46"/>
  <c r="I42" i="46"/>
  <c r="I43" i="46"/>
  <c r="I44" i="46"/>
  <c r="I45" i="46"/>
  <c r="I46" i="46"/>
  <c r="I47" i="46"/>
  <c r="I48" i="46"/>
  <c r="I49" i="46"/>
  <c r="I50" i="46"/>
  <c r="I51" i="46"/>
  <c r="I52" i="46"/>
  <c r="I53" i="46"/>
  <c r="I54" i="46"/>
  <c r="I55" i="46"/>
  <c r="I56" i="46"/>
  <c r="I57" i="46"/>
  <c r="I58" i="46"/>
  <c r="I59" i="46"/>
  <c r="I60" i="46"/>
  <c r="I61" i="46"/>
  <c r="I62" i="46"/>
  <c r="I63" i="46"/>
  <c r="I64" i="46"/>
  <c r="I65" i="46"/>
  <c r="I66" i="46"/>
  <c r="I67" i="46"/>
  <c r="I68" i="46"/>
  <c r="I69" i="46"/>
  <c r="I70" i="46"/>
  <c r="I71" i="46"/>
  <c r="I72" i="46"/>
  <c r="I73" i="46"/>
  <c r="I74" i="46"/>
  <c r="I75" i="46"/>
  <c r="I76" i="46"/>
  <c r="I77" i="46"/>
  <c r="I78" i="46"/>
  <c r="I79" i="46"/>
  <c r="I80" i="46"/>
  <c r="I81" i="46"/>
  <c r="I82" i="46"/>
  <c r="I83" i="46"/>
  <c r="I84" i="46"/>
  <c r="I85" i="46"/>
  <c r="I86" i="46"/>
  <c r="I87" i="46"/>
  <c r="I88" i="46"/>
  <c r="I89" i="46"/>
  <c r="I90" i="46"/>
  <c r="I91" i="46"/>
  <c r="I92" i="46"/>
  <c r="I93" i="46"/>
  <c r="I94" i="46"/>
  <c r="I95" i="46"/>
  <c r="I96" i="46"/>
  <c r="I97" i="46"/>
  <c r="I98" i="46"/>
  <c r="I99" i="46"/>
  <c r="I100" i="46"/>
  <c r="I101" i="46"/>
  <c r="I102" i="46"/>
  <c r="I103" i="46"/>
  <c r="I104" i="46"/>
  <c r="I105" i="46"/>
  <c r="I106" i="46"/>
  <c r="I107" i="46"/>
  <c r="I108" i="46"/>
  <c r="I109" i="46"/>
  <c r="I110" i="46"/>
  <c r="I111" i="46"/>
  <c r="I112" i="46"/>
  <c r="I113" i="46"/>
  <c r="I114" i="46"/>
  <c r="I115" i="46"/>
  <c r="I116" i="46"/>
  <c r="I117" i="46"/>
  <c r="I118" i="46"/>
  <c r="I119" i="46"/>
  <c r="I120" i="46"/>
  <c r="I121" i="46"/>
  <c r="I122" i="46"/>
  <c r="I123" i="46"/>
  <c r="I124" i="46"/>
  <c r="I125" i="46"/>
  <c r="I126" i="46"/>
  <c r="I127" i="46"/>
  <c r="I128" i="46"/>
  <c r="I129" i="46"/>
  <c r="I130" i="46"/>
  <c r="I131" i="46"/>
  <c r="I132" i="46"/>
  <c r="I133" i="46"/>
  <c r="I134" i="46"/>
  <c r="I135" i="46"/>
  <c r="I136" i="46"/>
  <c r="I137" i="46"/>
  <c r="I138" i="46"/>
  <c r="I139" i="46"/>
  <c r="I140" i="46"/>
  <c r="I141" i="46"/>
  <c r="I142" i="46"/>
  <c r="I143" i="46"/>
  <c r="I144" i="46"/>
  <c r="I145" i="46"/>
  <c r="I146" i="46"/>
  <c r="I147" i="46"/>
  <c r="I148" i="46"/>
  <c r="I149" i="46"/>
  <c r="I150" i="46"/>
  <c r="I151" i="46"/>
  <c r="I152" i="46"/>
  <c r="I153" i="46"/>
  <c r="I154" i="46"/>
  <c r="I155" i="46"/>
  <c r="I156" i="46"/>
  <c r="I157" i="46"/>
  <c r="I158" i="46"/>
  <c r="I159" i="46"/>
  <c r="I160" i="46"/>
  <c r="I161" i="46"/>
  <c r="I162" i="46"/>
  <c r="I163" i="46"/>
  <c r="I164" i="46"/>
  <c r="I165" i="46"/>
  <c r="I166" i="46"/>
  <c r="I167" i="46"/>
  <c r="I168" i="46"/>
  <c r="I169" i="46"/>
  <c r="I170" i="46"/>
  <c r="I171" i="46"/>
  <c r="I172" i="46"/>
  <c r="I173" i="46"/>
  <c r="I174" i="46"/>
  <c r="I175" i="46"/>
  <c r="I176" i="46"/>
  <c r="I177" i="46"/>
  <c r="I178" i="46"/>
  <c r="I179" i="46"/>
  <c r="I180" i="46"/>
  <c r="I181" i="46"/>
  <c r="I182" i="46"/>
  <c r="I183" i="46"/>
  <c r="I184" i="46"/>
  <c r="I185" i="46"/>
  <c r="I186" i="46"/>
  <c r="I187" i="46"/>
  <c r="I188" i="46"/>
  <c r="I189" i="46"/>
  <c r="I190" i="46"/>
  <c r="I191" i="46"/>
  <c r="I192" i="46"/>
  <c r="I193" i="46"/>
  <c r="I194" i="46"/>
  <c r="I195" i="46"/>
  <c r="I196" i="46"/>
  <c r="I197" i="46"/>
  <c r="I198" i="46"/>
  <c r="I199" i="46"/>
  <c r="I200" i="46"/>
  <c r="I201" i="46"/>
  <c r="I202" i="46"/>
  <c r="I203" i="46"/>
  <c r="I204" i="46"/>
  <c r="I205" i="46"/>
  <c r="I206" i="46"/>
  <c r="I207" i="46"/>
  <c r="I208" i="46"/>
  <c r="I209" i="46"/>
  <c r="I210" i="46"/>
  <c r="I211" i="46"/>
  <c r="I212" i="46"/>
  <c r="I213" i="46"/>
  <c r="I214" i="46"/>
  <c r="I215" i="46"/>
  <c r="I216" i="46"/>
  <c r="I217" i="46"/>
  <c r="I218" i="46"/>
  <c r="I219" i="46"/>
  <c r="I220" i="46"/>
  <c r="I221" i="46"/>
  <c r="I222" i="46"/>
  <c r="I223" i="46"/>
  <c r="I224" i="46"/>
  <c r="I225" i="46"/>
  <c r="I226" i="46"/>
  <c r="I227" i="46"/>
  <c r="I228" i="46"/>
  <c r="I229" i="46"/>
  <c r="I230" i="46"/>
  <c r="I231" i="46"/>
  <c r="I232" i="46"/>
  <c r="I233" i="46"/>
  <c r="I234" i="46"/>
  <c r="I235" i="46"/>
  <c r="I236" i="46"/>
  <c r="I237" i="46"/>
  <c r="I238" i="46"/>
  <c r="I239" i="46"/>
  <c r="I240" i="46"/>
  <c r="I241" i="46"/>
  <c r="I242" i="46"/>
  <c r="I243" i="46"/>
  <c r="I244" i="46"/>
  <c r="I245" i="46"/>
  <c r="I246" i="46"/>
  <c r="I247" i="46"/>
  <c r="I248" i="46"/>
  <c r="I249" i="46"/>
  <c r="I250" i="46"/>
  <c r="I251" i="46"/>
  <c r="I252" i="46"/>
  <c r="I253" i="46"/>
  <c r="I254" i="46"/>
  <c r="I255" i="46"/>
  <c r="I256" i="46"/>
  <c r="I257" i="46"/>
  <c r="I258" i="46"/>
  <c r="I259" i="46"/>
  <c r="I260" i="46"/>
  <c r="I261" i="46"/>
  <c r="I262" i="46"/>
  <c r="I263" i="46"/>
  <c r="I264" i="46"/>
  <c r="I265" i="46"/>
  <c r="I266" i="46"/>
  <c r="I267" i="46"/>
  <c r="I268" i="46"/>
  <c r="I269" i="46"/>
  <c r="I270" i="46"/>
  <c r="I271" i="46"/>
  <c r="I272" i="46"/>
  <c r="I273" i="46"/>
  <c r="I274" i="46"/>
  <c r="I275" i="46"/>
  <c r="I276" i="46"/>
  <c r="I277" i="46"/>
  <c r="I278" i="46"/>
  <c r="I279" i="46"/>
  <c r="I280" i="46"/>
  <c r="I281" i="46"/>
  <c r="I282" i="46"/>
  <c r="I283" i="46"/>
  <c r="I284" i="46"/>
  <c r="I285" i="46"/>
  <c r="I286" i="46"/>
  <c r="I287" i="46"/>
  <c r="I288" i="46"/>
  <c r="I289" i="46"/>
  <c r="I290" i="46"/>
  <c r="I291" i="46"/>
  <c r="I292" i="46"/>
  <c r="I293" i="46"/>
  <c r="I294" i="46"/>
  <c r="I295" i="46"/>
  <c r="I296" i="46"/>
  <c r="I297" i="46"/>
  <c r="I298" i="46"/>
  <c r="I299" i="46"/>
  <c r="I300" i="46"/>
  <c r="I301" i="46"/>
  <c r="I302" i="46"/>
  <c r="I303" i="46"/>
  <c r="I304" i="46"/>
  <c r="I305" i="46"/>
  <c r="I306" i="46"/>
  <c r="I307" i="46"/>
  <c r="I308" i="46"/>
  <c r="I309" i="46"/>
  <c r="I310" i="46"/>
  <c r="I311" i="46"/>
  <c r="I312" i="46"/>
  <c r="I313" i="46"/>
  <c r="I314" i="46"/>
  <c r="I315" i="46"/>
  <c r="I316" i="46"/>
  <c r="I317" i="46"/>
  <c r="I318" i="46"/>
  <c r="I319" i="46"/>
  <c r="I320" i="46"/>
  <c r="I321" i="46"/>
  <c r="I322" i="46"/>
  <c r="I323" i="46"/>
  <c r="I324" i="46"/>
  <c r="I325" i="46"/>
  <c r="I326" i="46"/>
  <c r="I327" i="46"/>
  <c r="I328" i="46"/>
  <c r="I329" i="46"/>
  <c r="I330" i="46"/>
  <c r="I331" i="46"/>
  <c r="I332" i="46"/>
  <c r="I333" i="46"/>
  <c r="I334" i="46"/>
  <c r="I335" i="46"/>
  <c r="I336" i="46"/>
  <c r="I337" i="46"/>
  <c r="I338" i="46"/>
  <c r="I339" i="46"/>
  <c r="I340" i="46"/>
  <c r="I341" i="46"/>
  <c r="I342" i="46"/>
  <c r="I343" i="46"/>
  <c r="I344" i="46"/>
  <c r="I345" i="46"/>
  <c r="I346" i="46"/>
  <c r="I347" i="46"/>
  <c r="I348" i="46"/>
  <c r="I349" i="46"/>
  <c r="I350" i="46"/>
  <c r="I351" i="46"/>
  <c r="I352" i="46"/>
  <c r="I353" i="46"/>
  <c r="I354" i="46"/>
  <c r="I355" i="46"/>
  <c r="I356" i="46"/>
  <c r="I357" i="46"/>
  <c r="I358" i="46"/>
  <c r="I359" i="46"/>
  <c r="I360" i="46"/>
  <c r="I361" i="46"/>
  <c r="I362" i="46"/>
  <c r="I363" i="46"/>
  <c r="I364" i="46"/>
  <c r="I365" i="46"/>
  <c r="I366" i="46"/>
  <c r="I367" i="46"/>
  <c r="I368" i="46"/>
  <c r="I369" i="46"/>
  <c r="I370" i="46"/>
  <c r="I371" i="46"/>
  <c r="I372" i="46"/>
  <c r="I373" i="46"/>
  <c r="I374" i="46"/>
  <c r="I375" i="46"/>
  <c r="I376" i="46"/>
  <c r="I377" i="46"/>
  <c r="I378" i="46"/>
  <c r="I379" i="46"/>
  <c r="I380" i="46"/>
  <c r="I381" i="46"/>
  <c r="I382" i="46"/>
  <c r="I383" i="46"/>
  <c r="I384" i="46"/>
  <c r="I385" i="46"/>
  <c r="I386" i="46"/>
  <c r="I387" i="46"/>
  <c r="I388" i="46"/>
  <c r="I389" i="46"/>
  <c r="I390" i="46"/>
  <c r="I391" i="46"/>
  <c r="I392" i="46"/>
  <c r="I393" i="46"/>
  <c r="I394" i="46"/>
  <c r="I395" i="46"/>
  <c r="I396" i="46"/>
  <c r="I397" i="46"/>
  <c r="I398" i="46"/>
  <c r="I399" i="46"/>
  <c r="I400" i="46"/>
  <c r="I401" i="46"/>
  <c r="I402" i="46"/>
  <c r="I403" i="46"/>
  <c r="I404" i="46"/>
  <c r="I405" i="46"/>
  <c r="I406" i="46"/>
  <c r="I407" i="46"/>
  <c r="I408" i="46"/>
  <c r="I409" i="46"/>
  <c r="I410" i="46"/>
  <c r="I411" i="46"/>
  <c r="I412" i="46"/>
  <c r="I413" i="46"/>
  <c r="I414" i="46"/>
  <c r="I415" i="46"/>
  <c r="I416" i="46"/>
  <c r="I417" i="46"/>
  <c r="I418" i="46"/>
  <c r="I419" i="46"/>
  <c r="I420" i="46"/>
  <c r="I421" i="46"/>
  <c r="I422" i="46"/>
  <c r="I423" i="46"/>
  <c r="I424" i="46"/>
  <c r="I425" i="46"/>
  <c r="I426" i="46"/>
  <c r="I427" i="46"/>
  <c r="I428" i="46"/>
  <c r="I429" i="46"/>
  <c r="I430" i="46"/>
  <c r="I431" i="46"/>
  <c r="I432" i="46"/>
  <c r="I433" i="46"/>
  <c r="I434" i="46"/>
  <c r="I435" i="46"/>
  <c r="I436" i="46"/>
  <c r="I437" i="46"/>
  <c r="I438" i="46"/>
  <c r="I439" i="46"/>
  <c r="I440" i="46"/>
  <c r="I441" i="46"/>
  <c r="I442" i="46"/>
  <c r="I14" i="46"/>
  <c r="I15" i="46"/>
  <c r="I16" i="46"/>
  <c r="I17" i="46"/>
  <c r="I18" i="46"/>
  <c r="I19" i="46"/>
  <c r="I20" i="46"/>
  <c r="I21" i="46"/>
  <c r="I22" i="46"/>
  <c r="I23" i="46"/>
  <c r="I24" i="46"/>
  <c r="I25" i="46"/>
  <c r="I26" i="46"/>
  <c r="I27" i="46"/>
  <c r="I13" i="46"/>
  <c r="L13" i="46"/>
  <c r="P443" i="46" l="1"/>
  <c r="I15" i="39" l="1"/>
  <c r="I16" i="39"/>
  <c r="I17" i="39"/>
  <c r="I18" i="39"/>
  <c r="I19" i="39"/>
  <c r="I20" i="39"/>
  <c r="J443" i="46" l="1"/>
  <c r="P15" i="39" l="1"/>
  <c r="S15" i="39" s="1"/>
  <c r="P16" i="39"/>
  <c r="P17" i="39"/>
  <c r="S17" i="39" s="1"/>
  <c r="P18" i="39"/>
  <c r="S18" i="39" s="1"/>
  <c r="P19" i="39"/>
  <c r="S19" i="39" s="1"/>
  <c r="P20" i="39"/>
  <c r="S20" i="39" s="1"/>
  <c r="R15" i="39" l="1"/>
  <c r="R18" i="39"/>
  <c r="R16" i="39"/>
  <c r="S16" i="39"/>
  <c r="R20" i="39"/>
  <c r="R19" i="39"/>
  <c r="R17" i="39"/>
  <c r="AB17" i="39" l="1"/>
  <c r="AA17" i="39"/>
  <c r="AB20" i="39"/>
  <c r="AA20" i="39"/>
  <c r="X20" i="39" s="1"/>
  <c r="AB18" i="39"/>
  <c r="AA18" i="39"/>
  <c r="X18" i="39" s="1"/>
  <c r="AB19" i="39"/>
  <c r="AA19" i="39"/>
  <c r="X19" i="39" s="1"/>
  <c r="AB16" i="39"/>
  <c r="AA16" i="39"/>
  <c r="X16" i="39" s="1"/>
  <c r="AB15" i="39"/>
  <c r="AA15" i="39"/>
  <c r="X17" i="39"/>
  <c r="X21" i="39"/>
  <c r="AB22" i="39" l="1"/>
  <c r="X15" i="39"/>
  <c r="AA22" i="39"/>
  <c r="L442" i="46"/>
  <c r="L441" i="46"/>
  <c r="L440" i="46"/>
  <c r="L439" i="46"/>
  <c r="L438" i="46"/>
  <c r="L437" i="46"/>
  <c r="L436" i="46"/>
  <c r="L435" i="46"/>
  <c r="L434" i="46"/>
  <c r="L433" i="46"/>
  <c r="L432" i="46"/>
  <c r="L431" i="46"/>
  <c r="L430" i="46"/>
  <c r="L429" i="46"/>
  <c r="L428" i="46"/>
  <c r="L427" i="46"/>
  <c r="L426" i="46"/>
  <c r="L425" i="46"/>
  <c r="L424" i="46"/>
  <c r="L423" i="46"/>
  <c r="L422" i="46"/>
  <c r="L421" i="46"/>
  <c r="L420" i="46"/>
  <c r="L419" i="46"/>
  <c r="L418" i="46"/>
  <c r="L417" i="46"/>
  <c r="L416" i="46"/>
  <c r="L415" i="46"/>
  <c r="L414" i="46"/>
  <c r="L413" i="46"/>
  <c r="L412" i="46"/>
  <c r="L411" i="46"/>
  <c r="L410" i="46"/>
  <c r="L409" i="46"/>
  <c r="L408" i="46"/>
  <c r="L407" i="46"/>
  <c r="L406" i="46"/>
  <c r="L405" i="46"/>
  <c r="L404" i="46"/>
  <c r="L403" i="46"/>
  <c r="L402" i="46"/>
  <c r="L401" i="46"/>
  <c r="L400" i="46"/>
  <c r="L399" i="46"/>
  <c r="L398" i="46"/>
  <c r="L397" i="46"/>
  <c r="L396" i="46"/>
  <c r="L395" i="46"/>
  <c r="L394" i="46"/>
  <c r="L393" i="46"/>
  <c r="L392" i="46"/>
  <c r="L391" i="46"/>
  <c r="L390" i="46"/>
  <c r="L389" i="46"/>
  <c r="L388" i="46"/>
  <c r="L387" i="46"/>
  <c r="L386" i="46"/>
  <c r="L385" i="46"/>
  <c r="L384" i="46"/>
  <c r="L383" i="46"/>
  <c r="L382" i="46"/>
  <c r="L381" i="46"/>
  <c r="L380" i="46"/>
  <c r="L379" i="46"/>
  <c r="L378" i="46"/>
  <c r="L377" i="46"/>
  <c r="L376" i="46"/>
  <c r="L375" i="46"/>
  <c r="L374" i="46"/>
  <c r="L373" i="46"/>
  <c r="L372" i="46"/>
  <c r="L371" i="46"/>
  <c r="L370" i="46"/>
  <c r="L369" i="46"/>
  <c r="L368" i="46"/>
  <c r="L367" i="46"/>
  <c r="L366" i="46"/>
  <c r="L365" i="46"/>
  <c r="L364" i="46"/>
  <c r="L363" i="46"/>
  <c r="L362" i="46"/>
  <c r="L361" i="46"/>
  <c r="L360" i="46"/>
  <c r="L359" i="46"/>
  <c r="L358" i="46"/>
  <c r="L357" i="46"/>
  <c r="L356" i="46"/>
  <c r="L355" i="46"/>
  <c r="L354" i="46"/>
  <c r="L353" i="46"/>
  <c r="L352" i="46"/>
  <c r="L351" i="46"/>
  <c r="L350" i="46"/>
  <c r="L349" i="46"/>
  <c r="L348" i="46"/>
  <c r="L347" i="46"/>
  <c r="L346" i="46"/>
  <c r="L345" i="46"/>
  <c r="L344" i="46"/>
  <c r="L343" i="46"/>
  <c r="L342" i="46"/>
  <c r="L341" i="46"/>
  <c r="L340" i="46"/>
  <c r="L339" i="46"/>
  <c r="L338" i="46"/>
  <c r="L337" i="46"/>
  <c r="L336" i="46"/>
  <c r="L335" i="46"/>
  <c r="L334" i="46"/>
  <c r="L333" i="46"/>
  <c r="L332" i="46"/>
  <c r="L331" i="46"/>
  <c r="L330" i="46"/>
  <c r="L329" i="46"/>
  <c r="L328" i="46"/>
  <c r="L327" i="46"/>
  <c r="L326" i="46"/>
  <c r="L325" i="46"/>
  <c r="L324" i="46"/>
  <c r="L323" i="46"/>
  <c r="L322" i="46"/>
  <c r="L321" i="46"/>
  <c r="L320" i="46"/>
  <c r="L319" i="46"/>
  <c r="L318" i="46"/>
  <c r="L317" i="46"/>
  <c r="L316" i="46"/>
  <c r="L315" i="46"/>
  <c r="L314" i="46"/>
  <c r="L313" i="46"/>
  <c r="L312" i="46"/>
  <c r="L311" i="46"/>
  <c r="L310" i="46"/>
  <c r="L309" i="46"/>
  <c r="L308" i="46"/>
  <c r="L307" i="46"/>
  <c r="L306" i="46"/>
  <c r="L305" i="46"/>
  <c r="L304" i="46"/>
  <c r="L303" i="46"/>
  <c r="L302" i="46"/>
  <c r="L301" i="46"/>
  <c r="L300" i="46"/>
  <c r="L299" i="46"/>
  <c r="L298" i="46"/>
  <c r="L297" i="46"/>
  <c r="L296" i="46"/>
  <c r="L295" i="46"/>
  <c r="L294" i="46"/>
  <c r="L293" i="46"/>
  <c r="L292" i="46"/>
  <c r="L291" i="46"/>
  <c r="L290" i="46"/>
  <c r="L289" i="46"/>
  <c r="L288" i="46"/>
  <c r="L287" i="46"/>
  <c r="L286" i="46"/>
  <c r="L285" i="46"/>
  <c r="L284" i="46"/>
  <c r="L283" i="46"/>
  <c r="L282" i="46"/>
  <c r="L281" i="46"/>
  <c r="L280" i="46"/>
  <c r="L279" i="46"/>
  <c r="L278" i="46"/>
  <c r="L277" i="46"/>
  <c r="L276" i="46"/>
  <c r="L275" i="46"/>
  <c r="L274" i="46"/>
  <c r="L273" i="46"/>
  <c r="L272" i="46"/>
  <c r="L271" i="46"/>
  <c r="L270" i="46"/>
  <c r="L269" i="46"/>
  <c r="L268" i="46"/>
  <c r="L267" i="46"/>
  <c r="L266" i="46"/>
  <c r="L265" i="46"/>
  <c r="L264" i="46"/>
  <c r="L263" i="46"/>
  <c r="L262" i="46"/>
  <c r="L261" i="46"/>
  <c r="L260" i="46"/>
  <c r="L259" i="46"/>
  <c r="L258" i="46"/>
  <c r="L257" i="46"/>
  <c r="L256" i="46"/>
  <c r="L255" i="46"/>
  <c r="L254" i="46"/>
  <c r="L253" i="46"/>
  <c r="L252" i="46"/>
  <c r="L251" i="46"/>
  <c r="L250" i="46"/>
  <c r="L249" i="46"/>
  <c r="L248" i="46"/>
  <c r="L247" i="46"/>
  <c r="L246" i="46"/>
  <c r="L245" i="46"/>
  <c r="L244" i="46"/>
  <c r="L243" i="46"/>
  <c r="L242" i="46"/>
  <c r="L241" i="46"/>
  <c r="L240" i="46"/>
  <c r="L239" i="46"/>
  <c r="L238" i="46"/>
  <c r="L237" i="46"/>
  <c r="L236" i="46"/>
  <c r="L235" i="46"/>
  <c r="L234" i="46"/>
  <c r="L233" i="46"/>
  <c r="L232" i="46"/>
  <c r="L231" i="46"/>
  <c r="L230" i="46"/>
  <c r="L229" i="46"/>
  <c r="L228" i="46"/>
  <c r="L227" i="46"/>
  <c r="L226" i="46"/>
  <c r="L225" i="46"/>
  <c r="L224" i="46"/>
  <c r="L223" i="46"/>
  <c r="L222" i="46"/>
  <c r="L221" i="46"/>
  <c r="L220" i="46"/>
  <c r="L219" i="46"/>
  <c r="L218" i="46"/>
  <c r="L217" i="46"/>
  <c r="L216" i="46"/>
  <c r="L215" i="46"/>
  <c r="L214" i="46"/>
  <c r="L213" i="46"/>
  <c r="L212" i="46"/>
  <c r="L211" i="46"/>
  <c r="L210" i="46"/>
  <c r="L209" i="46"/>
  <c r="L208" i="46"/>
  <c r="L207" i="46"/>
  <c r="L206" i="46"/>
  <c r="L205" i="46"/>
  <c r="L204" i="46"/>
  <c r="L203" i="46"/>
  <c r="L202" i="46"/>
  <c r="L201" i="46"/>
  <c r="L200" i="46"/>
  <c r="L199" i="46"/>
  <c r="L198" i="46"/>
  <c r="L197" i="46"/>
  <c r="L196" i="46"/>
  <c r="L195" i="46"/>
  <c r="L194" i="46"/>
  <c r="L193" i="46"/>
  <c r="L192" i="46"/>
  <c r="L191" i="46"/>
  <c r="L190" i="46"/>
  <c r="L189" i="46"/>
  <c r="L188" i="46"/>
  <c r="L187" i="46"/>
  <c r="L186" i="46"/>
  <c r="L185" i="46"/>
  <c r="L184" i="46"/>
  <c r="L183" i="46"/>
  <c r="L182" i="46"/>
  <c r="L181" i="46"/>
  <c r="L180" i="46"/>
  <c r="L179" i="46"/>
  <c r="L178" i="46"/>
  <c r="L177" i="46"/>
  <c r="L176" i="46"/>
  <c r="L175" i="46"/>
  <c r="L174" i="46"/>
  <c r="L173" i="46"/>
  <c r="L172" i="46"/>
  <c r="L171" i="46"/>
  <c r="L170" i="46"/>
  <c r="L169" i="46"/>
  <c r="L168" i="46"/>
  <c r="L167" i="46"/>
  <c r="L166" i="46"/>
  <c r="L165" i="46"/>
  <c r="L164" i="46"/>
  <c r="L163" i="46"/>
  <c r="L162" i="46"/>
  <c r="L161" i="46"/>
  <c r="L160" i="46"/>
  <c r="L159" i="46"/>
  <c r="L158" i="46"/>
  <c r="L157" i="46"/>
  <c r="L156" i="46"/>
  <c r="L155" i="46"/>
  <c r="L154" i="46"/>
  <c r="L153" i="46"/>
  <c r="L152" i="46"/>
  <c r="L151" i="46"/>
  <c r="L150" i="46"/>
  <c r="L149" i="46"/>
  <c r="L148" i="46"/>
  <c r="L147" i="46"/>
  <c r="L146" i="46"/>
  <c r="L145" i="46"/>
  <c r="L144" i="46"/>
  <c r="L143" i="46"/>
  <c r="L142" i="46"/>
  <c r="L141" i="46"/>
  <c r="L140" i="46"/>
  <c r="L139" i="46"/>
  <c r="L138" i="46"/>
  <c r="L137" i="46"/>
  <c r="L136" i="46"/>
  <c r="L135" i="46"/>
  <c r="L134" i="46"/>
  <c r="L133" i="46"/>
  <c r="L132" i="46"/>
  <c r="L131" i="46"/>
  <c r="L130" i="46"/>
  <c r="L129" i="46"/>
  <c r="L128" i="46"/>
  <c r="L127" i="46"/>
  <c r="L126" i="46"/>
  <c r="L125" i="46"/>
  <c r="L124" i="46"/>
  <c r="L123" i="46"/>
  <c r="L122" i="46"/>
  <c r="L121" i="46"/>
  <c r="L120" i="46"/>
  <c r="L119" i="46"/>
  <c r="L118" i="46"/>
  <c r="L117" i="46"/>
  <c r="L116" i="46"/>
  <c r="L115" i="46"/>
  <c r="L114" i="46"/>
  <c r="L113" i="46"/>
  <c r="L112" i="46"/>
  <c r="L111" i="46"/>
  <c r="L110" i="46"/>
  <c r="L109" i="46"/>
  <c r="L108" i="46"/>
  <c r="L107" i="46"/>
  <c r="L106" i="46"/>
  <c r="L105" i="46"/>
  <c r="L104" i="46"/>
  <c r="L103" i="46"/>
  <c r="L102" i="46"/>
  <c r="L101" i="46"/>
  <c r="L100" i="46"/>
  <c r="L99" i="46"/>
  <c r="L98" i="46"/>
  <c r="L97" i="46"/>
  <c r="L96" i="46"/>
  <c r="L95" i="46"/>
  <c r="L94" i="46"/>
  <c r="L93" i="46"/>
  <c r="L92" i="46"/>
  <c r="L91" i="46"/>
  <c r="L90" i="46"/>
  <c r="L89" i="46"/>
  <c r="L88" i="46"/>
  <c r="L87" i="46"/>
  <c r="L86" i="46"/>
  <c r="L85" i="46"/>
  <c r="L84" i="46"/>
  <c r="L83" i="46"/>
  <c r="L82" i="46"/>
  <c r="L81" i="46"/>
  <c r="L80" i="46"/>
  <c r="L79" i="46"/>
  <c r="L78" i="46"/>
  <c r="L77" i="46"/>
  <c r="L76" i="46"/>
  <c r="L75" i="46"/>
  <c r="L74" i="46"/>
  <c r="L73" i="46"/>
  <c r="L72" i="46"/>
  <c r="L71" i="46"/>
  <c r="L70" i="46"/>
  <c r="L69" i="46"/>
  <c r="L68" i="46"/>
  <c r="L67" i="46"/>
  <c r="L66" i="46"/>
  <c r="L65" i="46"/>
  <c r="L64" i="46"/>
  <c r="L63" i="46"/>
  <c r="L62" i="46"/>
  <c r="L61" i="46"/>
  <c r="L60" i="46"/>
  <c r="L59" i="46"/>
  <c r="L58" i="46"/>
  <c r="L57" i="46"/>
  <c r="L56" i="46"/>
  <c r="L55" i="46"/>
  <c r="L54" i="46"/>
  <c r="L53" i="46"/>
  <c r="L52" i="46"/>
  <c r="L51" i="46"/>
  <c r="L50" i="46"/>
  <c r="L49" i="46"/>
  <c r="L48" i="46"/>
  <c r="L47" i="46"/>
  <c r="L46" i="46"/>
  <c r="L45" i="46"/>
  <c r="L44" i="46"/>
  <c r="L43" i="46"/>
  <c r="L42" i="46"/>
  <c r="L41" i="46"/>
  <c r="L40" i="46"/>
  <c r="L39" i="46"/>
  <c r="L38" i="46"/>
  <c r="L37" i="46"/>
  <c r="L36" i="46"/>
  <c r="L35" i="46"/>
  <c r="L34" i="46"/>
  <c r="L33" i="46"/>
  <c r="L32" i="46"/>
  <c r="L31" i="46"/>
  <c r="L30" i="46"/>
  <c r="L29" i="46"/>
  <c r="L28" i="46"/>
  <c r="L27" i="46"/>
  <c r="L26" i="46"/>
  <c r="L25" i="46"/>
  <c r="L24" i="46"/>
  <c r="L23" i="46"/>
  <c r="L22" i="46"/>
  <c r="L21" i="46"/>
  <c r="L20" i="46"/>
  <c r="L19" i="46"/>
  <c r="L18" i="46"/>
  <c r="L17" i="46"/>
  <c r="L16" i="46"/>
  <c r="L15" i="46"/>
  <c r="L14" i="46"/>
  <c r="G51" i="2" l="1"/>
  <c r="G49" i="2"/>
  <c r="G9" i="2"/>
  <c r="C47" i="23" l="1"/>
  <c r="C14" i="9" s="1"/>
  <c r="D14" i="9" s="1"/>
  <c r="B47" i="23"/>
  <c r="B14" i="9" s="1"/>
  <c r="C46" i="23"/>
  <c r="C13" i="9" s="1"/>
  <c r="D13" i="9" s="1"/>
  <c r="B46" i="23"/>
  <c r="B13" i="9" s="1"/>
  <c r="C45" i="23"/>
  <c r="C12" i="9" s="1"/>
  <c r="D12" i="9" s="1"/>
  <c r="B45" i="23"/>
  <c r="B12" i="9" s="1"/>
  <c r="C44" i="23"/>
  <c r="C11" i="9" s="1"/>
  <c r="D11" i="9" s="1"/>
  <c r="B44" i="23"/>
  <c r="B11" i="9" s="1"/>
  <c r="C43" i="23"/>
  <c r="C10" i="9" s="1"/>
  <c r="D10" i="9" s="1"/>
  <c r="B43" i="23"/>
  <c r="B10" i="9" s="1"/>
  <c r="E14" i="9" l="1"/>
  <c r="B2" i="23"/>
  <c r="F14" i="9" l="1"/>
  <c r="D15" i="9"/>
  <c r="E42" i="23"/>
  <c r="F42" i="23" s="1"/>
  <c r="G42" i="23" s="1"/>
  <c r="H42" i="23" s="1"/>
  <c r="I42" i="23" s="1"/>
  <c r="J42" i="23" s="1"/>
  <c r="K42" i="23" s="1"/>
  <c r="L42" i="23" s="1"/>
  <c r="M42" i="23" s="1"/>
  <c r="N42" i="23" s="1"/>
  <c r="O42" i="23" s="1"/>
  <c r="P42" i="23" s="1"/>
  <c r="Q42" i="23" s="1"/>
  <c r="R42" i="23" s="1"/>
  <c r="S42" i="23" s="1"/>
  <c r="T42" i="23" s="1"/>
  <c r="U42" i="23" s="1"/>
  <c r="V42" i="23" s="1"/>
  <c r="W42" i="23" s="1"/>
  <c r="X42" i="23" s="1"/>
  <c r="Y42" i="23" s="1"/>
  <c r="Z42" i="23" s="1"/>
  <c r="AA42" i="23" s="1"/>
  <c r="AB42" i="23" s="1"/>
  <c r="AC42" i="23" s="1"/>
  <c r="AD42" i="23" s="1"/>
  <c r="AE42" i="23" s="1"/>
  <c r="AF42" i="23" s="1"/>
  <c r="AG42" i="23" s="1"/>
  <c r="AH42" i="23" s="1"/>
  <c r="AH22" i="46"/>
  <c r="AH21" i="46"/>
  <c r="R11" i="46"/>
  <c r="S11" i="46" s="1"/>
  <c r="T11" i="46" s="1"/>
  <c r="U11" i="46" s="1"/>
  <c r="U12" i="46"/>
  <c r="B1" i="46"/>
  <c r="AW12" i="39"/>
  <c r="B2" i="39"/>
  <c r="AS12" i="39" l="1"/>
  <c r="AT12" i="39"/>
  <c r="AE22" i="46"/>
  <c r="AE23" i="46"/>
  <c r="AF24" i="46"/>
  <c r="AF22" i="46"/>
  <c r="AF23" i="46"/>
  <c r="AF21" i="46"/>
  <c r="AG24" i="46"/>
  <c r="AG23" i="46"/>
  <c r="AG18" i="46"/>
  <c r="AL12" i="39"/>
  <c r="AD9" i="46"/>
  <c r="AE9" i="46"/>
  <c r="AM12" i="39"/>
  <c r="Q12" i="46"/>
  <c r="S12" i="46"/>
  <c r="W9" i="46"/>
  <c r="R12" i="46"/>
  <c r="T12" i="46"/>
  <c r="X9" i="46"/>
  <c r="AG9" i="46"/>
  <c r="AN12" i="39"/>
  <c r="AV12" i="39"/>
  <c r="AU12" i="39"/>
  <c r="AF9" i="46"/>
  <c r="AA9" i="46"/>
  <c r="Z9" i="46"/>
  <c r="Y9" i="46"/>
  <c r="AP12" i="39"/>
  <c r="AH9" i="46"/>
  <c r="AO12" i="39"/>
  <c r="AB79" i="46"/>
  <c r="AH79" i="46" s="1"/>
  <c r="AB78" i="46"/>
  <c r="AH78" i="46" s="1"/>
  <c r="AB39" i="46" l="1"/>
  <c r="AF39" i="46" s="1"/>
  <c r="AB42" i="46"/>
  <c r="AH42" i="46" s="1"/>
  <c r="AB62" i="46"/>
  <c r="AB124" i="46"/>
  <c r="AH124" i="46" s="1"/>
  <c r="AB348" i="46"/>
  <c r="AH348" i="46" s="1"/>
  <c r="AB148" i="46"/>
  <c r="AH148" i="46" s="1"/>
  <c r="AB144" i="46"/>
  <c r="AH144" i="46" s="1"/>
  <c r="AB392" i="46"/>
  <c r="AH392" i="46" s="1"/>
  <c r="AB393" i="46"/>
  <c r="AB137" i="46"/>
  <c r="AH137" i="46" s="1"/>
  <c r="AB429" i="46"/>
  <c r="AF429" i="46" s="1"/>
  <c r="AB34" i="46"/>
  <c r="AE34" i="46" s="1"/>
  <c r="AB64" i="46"/>
  <c r="AF64" i="46" s="1"/>
  <c r="AB66" i="46"/>
  <c r="AF66" i="46" s="1"/>
  <c r="AB65" i="46"/>
  <c r="AH65" i="46" s="1"/>
  <c r="AB59" i="46"/>
  <c r="AB152" i="46"/>
  <c r="AH152" i="46" s="1"/>
  <c r="AB260" i="46"/>
  <c r="AH260" i="46" s="1"/>
  <c r="AB132" i="46"/>
  <c r="AH132" i="46" s="1"/>
  <c r="AB130" i="46"/>
  <c r="AH130" i="46" s="1"/>
  <c r="AB353" i="46"/>
  <c r="AH353" i="46" s="1"/>
  <c r="AB391" i="46"/>
  <c r="AH391" i="46" s="1"/>
  <c r="AB135" i="46"/>
  <c r="AH135" i="46" s="1"/>
  <c r="AB430" i="46"/>
  <c r="AG430" i="46" s="1"/>
  <c r="AB142" i="46"/>
  <c r="AH142" i="46" s="1"/>
  <c r="AB389" i="46"/>
  <c r="AH389" i="46" s="1"/>
  <c r="AB165" i="46"/>
  <c r="AH165" i="46" s="1"/>
  <c r="AB133" i="46"/>
  <c r="AH133" i="46" s="1"/>
  <c r="AB43" i="46"/>
  <c r="AB51" i="46"/>
  <c r="AH51" i="46" s="1"/>
  <c r="AB153" i="46"/>
  <c r="AH153" i="46" s="1"/>
  <c r="AB89" i="46"/>
  <c r="AH89" i="46" s="1"/>
  <c r="AB31" i="46"/>
  <c r="AH31" i="46" s="1"/>
  <c r="AB390" i="46"/>
  <c r="AB134" i="46"/>
  <c r="AH134" i="46" s="1"/>
  <c r="AB349" i="46"/>
  <c r="AB56" i="46"/>
  <c r="AB69" i="46"/>
  <c r="AH69" i="46" s="1"/>
  <c r="AB37" i="46"/>
  <c r="AH37" i="46" s="1"/>
  <c r="AB71" i="46"/>
  <c r="AH71" i="46" s="1"/>
  <c r="AB49" i="46"/>
  <c r="AB156" i="46"/>
  <c r="AH156" i="46" s="1"/>
  <c r="AB136" i="46"/>
  <c r="AH136" i="46" s="1"/>
  <c r="AB160" i="46"/>
  <c r="AH160" i="46" s="1"/>
  <c r="AB147" i="46"/>
  <c r="AH147" i="46" s="1"/>
  <c r="AB146" i="46"/>
  <c r="AH146" i="46" s="1"/>
  <c r="AB126" i="46"/>
  <c r="AH126" i="46" s="1"/>
  <c r="AB30" i="46"/>
  <c r="AH30" i="46" s="1"/>
  <c r="AB149" i="46"/>
  <c r="AH149" i="46" s="1"/>
  <c r="AQ20" i="39"/>
  <c r="AQ19" i="39"/>
  <c r="AB272" i="46"/>
  <c r="AB384" i="46"/>
  <c r="AH384" i="46" s="1"/>
  <c r="AB216" i="46"/>
  <c r="AB424" i="46"/>
  <c r="AG424" i="46" s="1"/>
  <c r="AB363" i="46"/>
  <c r="AB378" i="46"/>
  <c r="AH378" i="46" s="1"/>
  <c r="AB204" i="46"/>
  <c r="AB407" i="46"/>
  <c r="AG407" i="46" s="1"/>
  <c r="AB259" i="46"/>
  <c r="AB196" i="46"/>
  <c r="AB275" i="46"/>
  <c r="AE275" i="46" s="1"/>
  <c r="AB243" i="46"/>
  <c r="AB115" i="46"/>
  <c r="AH115" i="46" s="1"/>
  <c r="AB314" i="46"/>
  <c r="AB250" i="46"/>
  <c r="AB122" i="46"/>
  <c r="AB417" i="46"/>
  <c r="AE417" i="46" s="1"/>
  <c r="AB289" i="46"/>
  <c r="AB225" i="46"/>
  <c r="AB97" i="46"/>
  <c r="AB327" i="46"/>
  <c r="AB263" i="46"/>
  <c r="AB199" i="46"/>
  <c r="AB318" i="46"/>
  <c r="AB413" i="46"/>
  <c r="AG413" i="46" s="1"/>
  <c r="AB285" i="46"/>
  <c r="AB157" i="46"/>
  <c r="AF157" i="46" s="1"/>
  <c r="AB402" i="46"/>
  <c r="AB251" i="46"/>
  <c r="AB411" i="46"/>
  <c r="AF411" i="46" s="1"/>
  <c r="AB267" i="46"/>
  <c r="AB347" i="46"/>
  <c r="AB362" i="46"/>
  <c r="AB172" i="46"/>
  <c r="AB232" i="46"/>
  <c r="AB356" i="46"/>
  <c r="AB164" i="46"/>
  <c r="AB252" i="46"/>
  <c r="AH252" i="46" s="1"/>
  <c r="AB107" i="46"/>
  <c r="AB242" i="46"/>
  <c r="AB178" i="46"/>
  <c r="AB114" i="46"/>
  <c r="AB409" i="46"/>
  <c r="AG409" i="46" s="1"/>
  <c r="AB345" i="46"/>
  <c r="AB281" i="46"/>
  <c r="AB217" i="46"/>
  <c r="AB383" i="46"/>
  <c r="AH383" i="46" s="1"/>
  <c r="AB319" i="46"/>
  <c r="AH319" i="46" s="1"/>
  <c r="AB255" i="46"/>
  <c r="AB438" i="46"/>
  <c r="AB374" i="46"/>
  <c r="AB310" i="46"/>
  <c r="AB118" i="46"/>
  <c r="AB405" i="46"/>
  <c r="AB341" i="46"/>
  <c r="AB277" i="46"/>
  <c r="AB213" i="46"/>
  <c r="AD213" i="46" s="1"/>
  <c r="AB386" i="46"/>
  <c r="AH386" i="46" s="1"/>
  <c r="AB352" i="46"/>
  <c r="AB396" i="46"/>
  <c r="AH396" i="46" s="1"/>
  <c r="AB244" i="46"/>
  <c r="AB328" i="46"/>
  <c r="AB346" i="46"/>
  <c r="AB140" i="46"/>
  <c r="AB200" i="46"/>
  <c r="AB340" i="46"/>
  <c r="AB387" i="46"/>
  <c r="AH387" i="46" s="1"/>
  <c r="AB224" i="46"/>
  <c r="AB227" i="46"/>
  <c r="AB163" i="46"/>
  <c r="AB298" i="46"/>
  <c r="AB234" i="46"/>
  <c r="AB170" i="46"/>
  <c r="AB106" i="46"/>
  <c r="AB401" i="46"/>
  <c r="AF401" i="46" s="1"/>
  <c r="AB337" i="46"/>
  <c r="AB273" i="46"/>
  <c r="AB209" i="46"/>
  <c r="AB145" i="46"/>
  <c r="AB81" i="46"/>
  <c r="AB375" i="46"/>
  <c r="AH375" i="46" s="1"/>
  <c r="AB311" i="46"/>
  <c r="AB183" i="46"/>
  <c r="AB119" i="46"/>
  <c r="AB366" i="46"/>
  <c r="AH366" i="46" s="1"/>
  <c r="AB302" i="46"/>
  <c r="AB110" i="46"/>
  <c r="AB397" i="46"/>
  <c r="AH397" i="46" s="1"/>
  <c r="AB333" i="46"/>
  <c r="AB269" i="46"/>
  <c r="AB205" i="46"/>
  <c r="AB141" i="46"/>
  <c r="AG411" i="46"/>
  <c r="AB370" i="46"/>
  <c r="AB188" i="46"/>
  <c r="AB332" i="46"/>
  <c r="AB120" i="46"/>
  <c r="AB212" i="46"/>
  <c r="AB435" i="46"/>
  <c r="AB324" i="46"/>
  <c r="AB108" i="46"/>
  <c r="AB360" i="46"/>
  <c r="AB168" i="46"/>
  <c r="AB442" i="46"/>
  <c r="AB320" i="46"/>
  <c r="AB192" i="46"/>
  <c r="AB155" i="46"/>
  <c r="AB91" i="46"/>
  <c r="AH91" i="46" s="1"/>
  <c r="AB290" i="46"/>
  <c r="AD290" i="46" s="1"/>
  <c r="AB226" i="46"/>
  <c r="AB98" i="46"/>
  <c r="AB329" i="46"/>
  <c r="AB367" i="46"/>
  <c r="AH367" i="46" s="1"/>
  <c r="AB303" i="46"/>
  <c r="AB239" i="46"/>
  <c r="AE239" i="46" s="1"/>
  <c r="AB175" i="46"/>
  <c r="AF175" i="46" s="1"/>
  <c r="AB111" i="46"/>
  <c r="AB422" i="46"/>
  <c r="AG422" i="46" s="1"/>
  <c r="AB358" i="46"/>
  <c r="AB294" i="46"/>
  <c r="AB166" i="46"/>
  <c r="AB102" i="46"/>
  <c r="AH102" i="46" s="1"/>
  <c r="AB325" i="46"/>
  <c r="AB261" i="46"/>
  <c r="AB354" i="46"/>
  <c r="AB439" i="46"/>
  <c r="AB312" i="46"/>
  <c r="AB88" i="46"/>
  <c r="AB364" i="46"/>
  <c r="AB423" i="46"/>
  <c r="AG423" i="46" s="1"/>
  <c r="AB284" i="46"/>
  <c r="AB344" i="46"/>
  <c r="AB431" i="46"/>
  <c r="AB299" i="46"/>
  <c r="AH299" i="46" s="1"/>
  <c r="AB355" i="46"/>
  <c r="AB211" i="46"/>
  <c r="AB83" i="46"/>
  <c r="AH83" i="46" s="1"/>
  <c r="AB282" i="46"/>
  <c r="AB218" i="46"/>
  <c r="AB90" i="46"/>
  <c r="AB385" i="46"/>
  <c r="AB257" i="46"/>
  <c r="AB129" i="46"/>
  <c r="AB295" i="46"/>
  <c r="AB231" i="46"/>
  <c r="AB103" i="46"/>
  <c r="AB414" i="46"/>
  <c r="AB350" i="46"/>
  <c r="AB222" i="46"/>
  <c r="AB158" i="46"/>
  <c r="AB94" i="46"/>
  <c r="AB381" i="46"/>
  <c r="AH381" i="46" s="1"/>
  <c r="AB317" i="46"/>
  <c r="AB253" i="46"/>
  <c r="AB189" i="46"/>
  <c r="AB125" i="46"/>
  <c r="AG401" i="46"/>
  <c r="AB336" i="46"/>
  <c r="AB291" i="46"/>
  <c r="AH291" i="46" s="1"/>
  <c r="AB410" i="46"/>
  <c r="AB420" i="46"/>
  <c r="AB283" i="46"/>
  <c r="AB323" i="46"/>
  <c r="AB104" i="46"/>
  <c r="AB276" i="46"/>
  <c r="AB339" i="46"/>
  <c r="AB203" i="46"/>
  <c r="AE203" i="46" s="1"/>
  <c r="AB139" i="46"/>
  <c r="AB338" i="46"/>
  <c r="AB274" i="46"/>
  <c r="AB82" i="46"/>
  <c r="AB377" i="46"/>
  <c r="AH377" i="46" s="1"/>
  <c r="AB313" i="46"/>
  <c r="AB185" i="46"/>
  <c r="AH185" i="46" s="1"/>
  <c r="AB121" i="46"/>
  <c r="AB351" i="46"/>
  <c r="AB287" i="46"/>
  <c r="AB223" i="46"/>
  <c r="AE223" i="46" s="1"/>
  <c r="AB95" i="46"/>
  <c r="AB406" i="46"/>
  <c r="AB342" i="46"/>
  <c r="AB214" i="46"/>
  <c r="AB150" i="46"/>
  <c r="AB86" i="46"/>
  <c r="AB373" i="46"/>
  <c r="AH373" i="46" s="1"/>
  <c r="AB309" i="46"/>
  <c r="AB245" i="46"/>
  <c r="AB181" i="46"/>
  <c r="AB117" i="46"/>
  <c r="AB440" i="46"/>
  <c r="AE440" i="46" s="1"/>
  <c r="AB315" i="46"/>
  <c r="AB92" i="46"/>
  <c r="AB268" i="46"/>
  <c r="AB331" i="46"/>
  <c r="AB240" i="46"/>
  <c r="AB408" i="46"/>
  <c r="AE408" i="46" s="1"/>
  <c r="AB432" i="46"/>
  <c r="AB300" i="46"/>
  <c r="AB441" i="46"/>
  <c r="AB96" i="46"/>
  <c r="AB131" i="46"/>
  <c r="AB330" i="46"/>
  <c r="AB266" i="46"/>
  <c r="AB138" i="46"/>
  <c r="AB433" i="46"/>
  <c r="AB369" i="46"/>
  <c r="AH369" i="46" s="1"/>
  <c r="AB241" i="46"/>
  <c r="AB177" i="46"/>
  <c r="AH177" i="46" s="1"/>
  <c r="AB113" i="46"/>
  <c r="AB343" i="46"/>
  <c r="AB279" i="46"/>
  <c r="AB215" i="46"/>
  <c r="AB398" i="46"/>
  <c r="AH398" i="46" s="1"/>
  <c r="AB334" i="46"/>
  <c r="AB206" i="46"/>
  <c r="AB365" i="46"/>
  <c r="AF365" i="46" s="1"/>
  <c r="AB237" i="46"/>
  <c r="AH237" i="46" s="1"/>
  <c r="AB109" i="46"/>
  <c r="AG408" i="46"/>
  <c r="AE442" i="46"/>
  <c r="AB427" i="46"/>
  <c r="AB292" i="46"/>
  <c r="AB400" i="46"/>
  <c r="AB248" i="46"/>
  <c r="AB436" i="46"/>
  <c r="AB308" i="46"/>
  <c r="AB84" i="46"/>
  <c r="AH84" i="46" s="1"/>
  <c r="AB379" i="46"/>
  <c r="AB236" i="46"/>
  <c r="AB419" i="46"/>
  <c r="AB280" i="46"/>
  <c r="AB228" i="46"/>
  <c r="AB428" i="46"/>
  <c r="AE428" i="46" s="1"/>
  <c r="AB296" i="46"/>
  <c r="AB187" i="46"/>
  <c r="AB123" i="46"/>
  <c r="AB322" i="46"/>
  <c r="AH322" i="46" s="1"/>
  <c r="AB258" i="46"/>
  <c r="AB194" i="46"/>
  <c r="AB425" i="46"/>
  <c r="AB361" i="46"/>
  <c r="AB297" i="46"/>
  <c r="AH297" i="46" s="1"/>
  <c r="AB233" i="46"/>
  <c r="AH233" i="46" s="1"/>
  <c r="AB105" i="46"/>
  <c r="AB399" i="46"/>
  <c r="AH399" i="46" s="1"/>
  <c r="AB335" i="46"/>
  <c r="AH335" i="46" s="1"/>
  <c r="AB271" i="46"/>
  <c r="AB143" i="46"/>
  <c r="AB198" i="46"/>
  <c r="AB421" i="46"/>
  <c r="AB357" i="46"/>
  <c r="AB229" i="46"/>
  <c r="AB26" i="46"/>
  <c r="AB25" i="46"/>
  <c r="AH25" i="46" s="1"/>
  <c r="AB16" i="46"/>
  <c r="AH16" i="46" s="1"/>
  <c r="AB24" i="46"/>
  <c r="AH24" i="46" s="1"/>
  <c r="AB23" i="46"/>
  <c r="AH23" i="46" s="1"/>
  <c r="AB27" i="46"/>
  <c r="AB15" i="46"/>
  <c r="AB14" i="46"/>
  <c r="AB22" i="46"/>
  <c r="AG22" i="46" s="1"/>
  <c r="AB17" i="46"/>
  <c r="AQ15" i="39" l="1"/>
  <c r="AQ16" i="39"/>
  <c r="AQ18" i="39"/>
  <c r="AQ17" i="39"/>
  <c r="AS19" i="39"/>
  <c r="AW19" i="39"/>
  <c r="AV20" i="39"/>
  <c r="AW20" i="39"/>
  <c r="AS20" i="39"/>
  <c r="AU19" i="39"/>
  <c r="AF15" i="46"/>
  <c r="AH15" i="46"/>
  <c r="AG15" i="46"/>
  <c r="AE436" i="46"/>
  <c r="AH436" i="46"/>
  <c r="AE427" i="46"/>
  <c r="AH427" i="46"/>
  <c r="AF370" i="46"/>
  <c r="AH370" i="46"/>
  <c r="AE409" i="46"/>
  <c r="AH409" i="46"/>
  <c r="AE407" i="46"/>
  <c r="AH407" i="46"/>
  <c r="AG17" i="46"/>
  <c r="AH17" i="46"/>
  <c r="AE17" i="46"/>
  <c r="AG425" i="46"/>
  <c r="AH425" i="46"/>
  <c r="AE433" i="46"/>
  <c r="AH433" i="46"/>
  <c r="AE432" i="46"/>
  <c r="AH432" i="46"/>
  <c r="AG406" i="46"/>
  <c r="AH406" i="46"/>
  <c r="AG420" i="46"/>
  <c r="AH420" i="46"/>
  <c r="AF414" i="46"/>
  <c r="AH414" i="46"/>
  <c r="AF442" i="46"/>
  <c r="AH442" i="46"/>
  <c r="AE405" i="46"/>
  <c r="AH405" i="46"/>
  <c r="AE438" i="46"/>
  <c r="AH438" i="46"/>
  <c r="AG400" i="46"/>
  <c r="AH400" i="46"/>
  <c r="AG410" i="46"/>
  <c r="AH410" i="46"/>
  <c r="AE439" i="46"/>
  <c r="AH439" i="46"/>
  <c r="AG421" i="46"/>
  <c r="AH421" i="46"/>
  <c r="AG419" i="46"/>
  <c r="AH419" i="46"/>
  <c r="AE441" i="46"/>
  <c r="AH441" i="46"/>
  <c r="AG414" i="46"/>
  <c r="AE431" i="46"/>
  <c r="AH431" i="46"/>
  <c r="AE422" i="46"/>
  <c r="AH422" i="46"/>
  <c r="AE435" i="46"/>
  <c r="AH435" i="46"/>
  <c r="AG402" i="46"/>
  <c r="AH402" i="46"/>
  <c r="AH14" i="46"/>
  <c r="AE14" i="46"/>
  <c r="AF14" i="46"/>
  <c r="AG417" i="46"/>
  <c r="AE357" i="46"/>
  <c r="AH357" i="46"/>
  <c r="AF198" i="46"/>
  <c r="AH198" i="46"/>
  <c r="AE271" i="46"/>
  <c r="AH271" i="46"/>
  <c r="AE194" i="46"/>
  <c r="AH194" i="46"/>
  <c r="AF187" i="46"/>
  <c r="AH187" i="46"/>
  <c r="AF379" i="46"/>
  <c r="AD258" i="46"/>
  <c r="AH258" i="46"/>
  <c r="AF296" i="46"/>
  <c r="AH296" i="46"/>
  <c r="AE280" i="46"/>
  <c r="AH280" i="46"/>
  <c r="AF236" i="46"/>
  <c r="AH236" i="46"/>
  <c r="AE248" i="46"/>
  <c r="AH248" i="46"/>
  <c r="AE27" i="46"/>
  <c r="AH27" i="46"/>
  <c r="AD399" i="46"/>
  <c r="AF361" i="46"/>
  <c r="AH361" i="46"/>
  <c r="AD26" i="46"/>
  <c r="AH26" i="46"/>
  <c r="AF229" i="46"/>
  <c r="AH229" i="46"/>
  <c r="AE143" i="46"/>
  <c r="AH143" i="46"/>
  <c r="AG105" i="46"/>
  <c r="AH105" i="46"/>
  <c r="AE123" i="46"/>
  <c r="AH123" i="46"/>
  <c r="AE228" i="46"/>
  <c r="AH228" i="46"/>
  <c r="AE308" i="46"/>
  <c r="AH308" i="46"/>
  <c r="AE206" i="46"/>
  <c r="AH206" i="46"/>
  <c r="AF113" i="46"/>
  <c r="AH113" i="46"/>
  <c r="AD433" i="46"/>
  <c r="AE330" i="46"/>
  <c r="AH330" i="46"/>
  <c r="AF331" i="46"/>
  <c r="AH331" i="46"/>
  <c r="AE245" i="46"/>
  <c r="AH245" i="46"/>
  <c r="AD150" i="46"/>
  <c r="AH150" i="46"/>
  <c r="AG351" i="46"/>
  <c r="AH351" i="46"/>
  <c r="AF377" i="46"/>
  <c r="AF139" i="46"/>
  <c r="AH139" i="46"/>
  <c r="AF189" i="46"/>
  <c r="AH189" i="46"/>
  <c r="AF222" i="46"/>
  <c r="AH222" i="46"/>
  <c r="AF231" i="46"/>
  <c r="AH231" i="46"/>
  <c r="AF385" i="46"/>
  <c r="AE364" i="46"/>
  <c r="AH364" i="46"/>
  <c r="AG261" i="46"/>
  <c r="AH261" i="46"/>
  <c r="AG98" i="46"/>
  <c r="AH98" i="46"/>
  <c r="AE320" i="46"/>
  <c r="AH320" i="46"/>
  <c r="AF360" i="46"/>
  <c r="AH360" i="46"/>
  <c r="AF332" i="46"/>
  <c r="AH332" i="46"/>
  <c r="AF334" i="46"/>
  <c r="AH334" i="46"/>
  <c r="AF215" i="46"/>
  <c r="AH215" i="46"/>
  <c r="AF131" i="46"/>
  <c r="AH131" i="46"/>
  <c r="AF268" i="46"/>
  <c r="AH268" i="46"/>
  <c r="AG92" i="46"/>
  <c r="AH92" i="46"/>
  <c r="AF309" i="46"/>
  <c r="AH309" i="46"/>
  <c r="AE214" i="46"/>
  <c r="AH214" i="46"/>
  <c r="AG95" i="46"/>
  <c r="AH95" i="46"/>
  <c r="AE121" i="46"/>
  <c r="AH121" i="46"/>
  <c r="AF82" i="46"/>
  <c r="AH82" i="46"/>
  <c r="AF253" i="46"/>
  <c r="AH253" i="46"/>
  <c r="AG350" i="46"/>
  <c r="AH350" i="46"/>
  <c r="AF295" i="46"/>
  <c r="AH295" i="46"/>
  <c r="AF90" i="46"/>
  <c r="AH90" i="46"/>
  <c r="AF211" i="46"/>
  <c r="AH211" i="46"/>
  <c r="AG88" i="46"/>
  <c r="AH88" i="46"/>
  <c r="AE325" i="46"/>
  <c r="AH325" i="46"/>
  <c r="AG166" i="46"/>
  <c r="AH166" i="46"/>
  <c r="AE303" i="46"/>
  <c r="AH303" i="46"/>
  <c r="AE226" i="46"/>
  <c r="AH226" i="46"/>
  <c r="AF155" i="46"/>
  <c r="AH155" i="46"/>
  <c r="AG108" i="46"/>
  <c r="AH108" i="46"/>
  <c r="AG109" i="46"/>
  <c r="AH109" i="46"/>
  <c r="AD398" i="46"/>
  <c r="AD279" i="46"/>
  <c r="AH279" i="46"/>
  <c r="AD241" i="46"/>
  <c r="AH241" i="46"/>
  <c r="AD138" i="46"/>
  <c r="AH138" i="46"/>
  <c r="AG96" i="46"/>
  <c r="AH96" i="46"/>
  <c r="AE300" i="46"/>
  <c r="AH300" i="46"/>
  <c r="AD240" i="46"/>
  <c r="AH240" i="46"/>
  <c r="AD315" i="46"/>
  <c r="AH315" i="46"/>
  <c r="AE117" i="46"/>
  <c r="AH117" i="46"/>
  <c r="AF342" i="46"/>
  <c r="AH342" i="46"/>
  <c r="AE274" i="46"/>
  <c r="AH274" i="46"/>
  <c r="AG339" i="46"/>
  <c r="AH339" i="46"/>
  <c r="AF276" i="46"/>
  <c r="AH276" i="46"/>
  <c r="AG104" i="46"/>
  <c r="AH104" i="46"/>
  <c r="AF283" i="46"/>
  <c r="AH283" i="46"/>
  <c r="AD336" i="46"/>
  <c r="AH336" i="46"/>
  <c r="AE317" i="46"/>
  <c r="AH317" i="46"/>
  <c r="AG94" i="46"/>
  <c r="AH94" i="46"/>
  <c r="AD129" i="46"/>
  <c r="AH129" i="46"/>
  <c r="AD218" i="46"/>
  <c r="AH218" i="46"/>
  <c r="AF355" i="46"/>
  <c r="AH355" i="46"/>
  <c r="AD284" i="46"/>
  <c r="AH284" i="46"/>
  <c r="AE312" i="46"/>
  <c r="AH312" i="46"/>
  <c r="AF294" i="46"/>
  <c r="AH294" i="46"/>
  <c r="AG111" i="46"/>
  <c r="AH111" i="46"/>
  <c r="AD192" i="46"/>
  <c r="AH192" i="46"/>
  <c r="AE324" i="46"/>
  <c r="AH324" i="46"/>
  <c r="AD212" i="46"/>
  <c r="AH212" i="46"/>
  <c r="AE292" i="46"/>
  <c r="AH292" i="46"/>
  <c r="AD206" i="46"/>
  <c r="AF343" i="46"/>
  <c r="AH343" i="46"/>
  <c r="AD266" i="46"/>
  <c r="AH266" i="46"/>
  <c r="AE181" i="46"/>
  <c r="AH181" i="46"/>
  <c r="AG86" i="46"/>
  <c r="AH86" i="46"/>
  <c r="AF287" i="46"/>
  <c r="AH287" i="46"/>
  <c r="AF313" i="46"/>
  <c r="AH313" i="46"/>
  <c r="AG338" i="46"/>
  <c r="AH338" i="46"/>
  <c r="AF323" i="46"/>
  <c r="AH323" i="46"/>
  <c r="AE125" i="46"/>
  <c r="AH125" i="46"/>
  <c r="AF381" i="46"/>
  <c r="AE158" i="46"/>
  <c r="AH158" i="46"/>
  <c r="AG103" i="46"/>
  <c r="AH103" i="46"/>
  <c r="AD257" i="46"/>
  <c r="AH257" i="46"/>
  <c r="AE282" i="46"/>
  <c r="AH282" i="46"/>
  <c r="AG344" i="46"/>
  <c r="AH344" i="46"/>
  <c r="AE354" i="46"/>
  <c r="AH354" i="46"/>
  <c r="AG358" i="46"/>
  <c r="AH358" i="46"/>
  <c r="AF329" i="46"/>
  <c r="AH329" i="46"/>
  <c r="AE290" i="46"/>
  <c r="AH290" i="46"/>
  <c r="AF168" i="46"/>
  <c r="AH168" i="46"/>
  <c r="AD435" i="46"/>
  <c r="AG120" i="46"/>
  <c r="AH120" i="46"/>
  <c r="AE333" i="46"/>
  <c r="AH333" i="46"/>
  <c r="AF302" i="46"/>
  <c r="AH302" i="46"/>
  <c r="AG183" i="46"/>
  <c r="AH183" i="46"/>
  <c r="AE145" i="46"/>
  <c r="AH145" i="46"/>
  <c r="AF298" i="46"/>
  <c r="AH298" i="46"/>
  <c r="AF340" i="46"/>
  <c r="AH340" i="46"/>
  <c r="AF200" i="46"/>
  <c r="AH200" i="46"/>
  <c r="AG374" i="46"/>
  <c r="AF255" i="46"/>
  <c r="AH255" i="46"/>
  <c r="AF281" i="46"/>
  <c r="AH281" i="46"/>
  <c r="AF178" i="46"/>
  <c r="AH178" i="46"/>
  <c r="AG172" i="46"/>
  <c r="AH172" i="46"/>
  <c r="AE267" i="46"/>
  <c r="AH267" i="46"/>
  <c r="AE327" i="46"/>
  <c r="AH327" i="46"/>
  <c r="AF378" i="46"/>
  <c r="AF363" i="46"/>
  <c r="AH363" i="46"/>
  <c r="AD49" i="46"/>
  <c r="AH49" i="46"/>
  <c r="AE56" i="46"/>
  <c r="AH56" i="46"/>
  <c r="AD43" i="46"/>
  <c r="AH43" i="46"/>
  <c r="AG64" i="46"/>
  <c r="AH64" i="46"/>
  <c r="AD141" i="46"/>
  <c r="AH141" i="46"/>
  <c r="AD397" i="46"/>
  <c r="AF311" i="46"/>
  <c r="AH311" i="46"/>
  <c r="AF209" i="46"/>
  <c r="AH209" i="46"/>
  <c r="AG106" i="46"/>
  <c r="AH106" i="46"/>
  <c r="AF163" i="46"/>
  <c r="AH163" i="46"/>
  <c r="AF140" i="46"/>
  <c r="AH140" i="46"/>
  <c r="AF244" i="46"/>
  <c r="AH244" i="46"/>
  <c r="AE213" i="46"/>
  <c r="AH213" i="46"/>
  <c r="AF345" i="46"/>
  <c r="AH345" i="46"/>
  <c r="AF242" i="46"/>
  <c r="AH242" i="46"/>
  <c r="AG164" i="46"/>
  <c r="AH164" i="46"/>
  <c r="AE232" i="46"/>
  <c r="AH232" i="46"/>
  <c r="AG362" i="46"/>
  <c r="AH362" i="46"/>
  <c r="AF97" i="46"/>
  <c r="AH97" i="46"/>
  <c r="AE122" i="46"/>
  <c r="AH122" i="46"/>
  <c r="AE243" i="46"/>
  <c r="AH243" i="46"/>
  <c r="AE272" i="46"/>
  <c r="AH272" i="46"/>
  <c r="AD349" i="46"/>
  <c r="AH349" i="46"/>
  <c r="AF59" i="46"/>
  <c r="AH59" i="46"/>
  <c r="AF65" i="46"/>
  <c r="AD393" i="46"/>
  <c r="AD39" i="46"/>
  <c r="AH39" i="46"/>
  <c r="AF205" i="46"/>
  <c r="AH205" i="46"/>
  <c r="AG375" i="46"/>
  <c r="AD273" i="46"/>
  <c r="AH273" i="46"/>
  <c r="AE170" i="46"/>
  <c r="AH170" i="46"/>
  <c r="AE227" i="46"/>
  <c r="AH227" i="46"/>
  <c r="AF346" i="46"/>
  <c r="AH346" i="46"/>
  <c r="AF328" i="46"/>
  <c r="AH328" i="46"/>
  <c r="AE396" i="46"/>
  <c r="AF352" i="46"/>
  <c r="AH352" i="46"/>
  <c r="AE277" i="46"/>
  <c r="AH277" i="46"/>
  <c r="AG118" i="46"/>
  <c r="AH118" i="46"/>
  <c r="AG107" i="46"/>
  <c r="AH107" i="46"/>
  <c r="AF356" i="46"/>
  <c r="AH356" i="46"/>
  <c r="AF251" i="46"/>
  <c r="AH251" i="46"/>
  <c r="AD285" i="46"/>
  <c r="AH285" i="46"/>
  <c r="AD318" i="46"/>
  <c r="AH318" i="46"/>
  <c r="AE199" i="46"/>
  <c r="AH199" i="46"/>
  <c r="AE225" i="46"/>
  <c r="AH225" i="46"/>
  <c r="AF250" i="46"/>
  <c r="AH250" i="46"/>
  <c r="AG259" i="46"/>
  <c r="AH259" i="46"/>
  <c r="AD34" i="46"/>
  <c r="AH34" i="46"/>
  <c r="AG188" i="46"/>
  <c r="AH188" i="46"/>
  <c r="AE269" i="46"/>
  <c r="AH269" i="46"/>
  <c r="AG110" i="46"/>
  <c r="AH110" i="46"/>
  <c r="AE119" i="46"/>
  <c r="AH119" i="46"/>
  <c r="AF81" i="46"/>
  <c r="AH81" i="46"/>
  <c r="AF337" i="46"/>
  <c r="AH337" i="46"/>
  <c r="AE234" i="46"/>
  <c r="AH234" i="46"/>
  <c r="AD224" i="46"/>
  <c r="AH224" i="46"/>
  <c r="AF386" i="46"/>
  <c r="AG405" i="46"/>
  <c r="AF341" i="46"/>
  <c r="AH341" i="46"/>
  <c r="AF310" i="46"/>
  <c r="AH310" i="46"/>
  <c r="AE217" i="46"/>
  <c r="AH217" i="46"/>
  <c r="AG114" i="46"/>
  <c r="AH114" i="46"/>
  <c r="AG347" i="46"/>
  <c r="AH347" i="46"/>
  <c r="AF263" i="46"/>
  <c r="AH263" i="46"/>
  <c r="AE289" i="46"/>
  <c r="AH289" i="46"/>
  <c r="AF314" i="46"/>
  <c r="AH314" i="46"/>
  <c r="AE196" i="46"/>
  <c r="AH196" i="46"/>
  <c r="AE204" i="46"/>
  <c r="AH204" i="46"/>
  <c r="AD216" i="46"/>
  <c r="AH216" i="46"/>
  <c r="AG65" i="46"/>
  <c r="AG66" i="46"/>
  <c r="AH66" i="46"/>
  <c r="AD289" i="46"/>
  <c r="AG377" i="46"/>
  <c r="AG386" i="46"/>
  <c r="AG258" i="46"/>
  <c r="AG141" i="46"/>
  <c r="AG139" i="46"/>
  <c r="AG90" i="46"/>
  <c r="AG384" i="46"/>
  <c r="AG439" i="46"/>
  <c r="AD430" i="46"/>
  <c r="AG117" i="46"/>
  <c r="AG83" i="46"/>
  <c r="AG31" i="46"/>
  <c r="AG383" i="46"/>
  <c r="AG361" i="46"/>
  <c r="AG432" i="46"/>
  <c r="AH62" i="46"/>
  <c r="AG62" i="46"/>
  <c r="AG189" i="46"/>
  <c r="AG123" i="46"/>
  <c r="AG49" i="46"/>
  <c r="AG428" i="46"/>
  <c r="AG429" i="46"/>
  <c r="AG82" i="46"/>
  <c r="AG335" i="46"/>
  <c r="AG441" i="46"/>
  <c r="AG435" i="46"/>
  <c r="AG56" i="46"/>
  <c r="AG129" i="46"/>
  <c r="AG119" i="46"/>
  <c r="AG122" i="46"/>
  <c r="AG379" i="46"/>
  <c r="AG181" i="46"/>
  <c r="AG115" i="46"/>
  <c r="AG336" i="46"/>
  <c r="AG341" i="46"/>
  <c r="AG378" i="46"/>
  <c r="AG27" i="46"/>
  <c r="AG155" i="46"/>
  <c r="AG81" i="46"/>
  <c r="AG363" i="46"/>
  <c r="AG257" i="46"/>
  <c r="AG433" i="46"/>
  <c r="AG163" i="46"/>
  <c r="AG121" i="46"/>
  <c r="AG143" i="46"/>
  <c r="AG178" i="46"/>
  <c r="AG367" i="46"/>
  <c r="AG366" i="46"/>
  <c r="AG369" i="46"/>
  <c r="AG365" i="46"/>
  <c r="AG43" i="46"/>
  <c r="AG150" i="46"/>
  <c r="AG373" i="46"/>
  <c r="AG360" i="46"/>
  <c r="AG59" i="46"/>
  <c r="AG187" i="46"/>
  <c r="AG145" i="46"/>
  <c r="AG138" i="46"/>
  <c r="AG427" i="46"/>
  <c r="AG370" i="46"/>
  <c r="AG440" i="46"/>
  <c r="AG69" i="46"/>
  <c r="AG185" i="46"/>
  <c r="AG175" i="46"/>
  <c r="AG385" i="46"/>
  <c r="AG266" i="46"/>
  <c r="AG26" i="46"/>
  <c r="AG168" i="46"/>
  <c r="AG345" i="46"/>
  <c r="AG442" i="46"/>
  <c r="AG436" i="46"/>
  <c r="AG30" i="46"/>
  <c r="AG84" i="46"/>
  <c r="AG255" i="46"/>
  <c r="AG438" i="46"/>
  <c r="AG381" i="46"/>
  <c r="AG431" i="46"/>
  <c r="AG157" i="46"/>
  <c r="AG91" i="46"/>
  <c r="AG102" i="46"/>
  <c r="AG177" i="46"/>
  <c r="AG71" i="46"/>
  <c r="AG170" i="46"/>
  <c r="AG263" i="46"/>
  <c r="AG346" i="46"/>
  <c r="AG393" i="46"/>
  <c r="AD355" i="46"/>
  <c r="AD226" i="46"/>
  <c r="AF120" i="46"/>
  <c r="AF141" i="46"/>
  <c r="AF266" i="46"/>
  <c r="AF199" i="46"/>
  <c r="AF432" i="46"/>
  <c r="AF292" i="46"/>
  <c r="AF435" i="46"/>
  <c r="AF336" i="46"/>
  <c r="AF192" i="46"/>
  <c r="AF121" i="46"/>
  <c r="AF196" i="46"/>
  <c r="AF26" i="46"/>
  <c r="AF218" i="46"/>
  <c r="AF181" i="46"/>
  <c r="AF318" i="46"/>
  <c r="AF369" i="46"/>
  <c r="AF409" i="46"/>
  <c r="AF104" i="46"/>
  <c r="AF118" i="46"/>
  <c r="AF225" i="46"/>
  <c r="AF226" i="46"/>
  <c r="AF243" i="46"/>
  <c r="AF349" i="46"/>
  <c r="AF433" i="46"/>
  <c r="AF273" i="46"/>
  <c r="AF143" i="46"/>
  <c r="AF419" i="46"/>
  <c r="AD429" i="46"/>
  <c r="AF62" i="46"/>
  <c r="AF233" i="46"/>
  <c r="AF212" i="46"/>
  <c r="AF106" i="46"/>
  <c r="AF234" i="46"/>
  <c r="AF239" i="46"/>
  <c r="AF258" i="46"/>
  <c r="AF436" i="46"/>
  <c r="AF399" i="46"/>
  <c r="AF237" i="46"/>
  <c r="AD379" i="46"/>
  <c r="AD373" i="46"/>
  <c r="AD214" i="46"/>
  <c r="AF92" i="46"/>
  <c r="AF95" i="46"/>
  <c r="AF279" i="46"/>
  <c r="AF291" i="46"/>
  <c r="AF223" i="46"/>
  <c r="AF397" i="46"/>
  <c r="AF285" i="46"/>
  <c r="AF312" i="46"/>
  <c r="AF224" i="46"/>
  <c r="AF206" i="46"/>
  <c r="AF185" i="46"/>
  <c r="AF228" i="46"/>
  <c r="AF213" i="46"/>
  <c r="AF350" i="46"/>
  <c r="AF320" i="46"/>
  <c r="AF150" i="46"/>
  <c r="AF204" i="46"/>
  <c r="AF98" i="46"/>
  <c r="AF422" i="46"/>
  <c r="AF275" i="46"/>
  <c r="AF408" i="46"/>
  <c r="AF107" i="46"/>
  <c r="AF420" i="46"/>
  <c r="AF387" i="46"/>
  <c r="AF421" i="46"/>
  <c r="AF94" i="46"/>
  <c r="AF119" i="46"/>
  <c r="AF138" i="46"/>
  <c r="AF69" i="46"/>
  <c r="AF366" i="46"/>
  <c r="AF303" i="46"/>
  <c r="AF290" i="46"/>
  <c r="AF315" i="46"/>
  <c r="AF240" i="46"/>
  <c r="AE297" i="46"/>
  <c r="AF297" i="46"/>
  <c r="AE299" i="46"/>
  <c r="AF299" i="46"/>
  <c r="AD413" i="46"/>
  <c r="AD199" i="46"/>
  <c r="AF216" i="46"/>
  <c r="AF102" i="46"/>
  <c r="AF145" i="46"/>
  <c r="AF188" i="46"/>
  <c r="AF374" i="46"/>
  <c r="AF91" i="46"/>
  <c r="AF362" i="46"/>
  <c r="AF252" i="46"/>
  <c r="AF400" i="46"/>
  <c r="AF241" i="46"/>
  <c r="AF367" i="46"/>
  <c r="AF383" i="46"/>
  <c r="AF115" i="46"/>
  <c r="AF96" i="46"/>
  <c r="AF217" i="46"/>
  <c r="AF71" i="46"/>
  <c r="AF122" i="46"/>
  <c r="AF405" i="46"/>
  <c r="AF417" i="46"/>
  <c r="AF351" i="46"/>
  <c r="AF129" i="46"/>
  <c r="AF158" i="46"/>
  <c r="AF105" i="46"/>
  <c r="AF84" i="46"/>
  <c r="AF170" i="46"/>
  <c r="AF398" i="46"/>
  <c r="AF335" i="46"/>
  <c r="AF322" i="46"/>
  <c r="AF300" i="46"/>
  <c r="AF423" i="46"/>
  <c r="AF373" i="46"/>
  <c r="AF289" i="46"/>
  <c r="AD334" i="46"/>
  <c r="AD317" i="46"/>
  <c r="AF88" i="46"/>
  <c r="AF166" i="46"/>
  <c r="AF177" i="46"/>
  <c r="AF114" i="46"/>
  <c r="AF109" i="46"/>
  <c r="AF123" i="46"/>
  <c r="AF183" i="46"/>
  <c r="AF227" i="46"/>
  <c r="AF203" i="46"/>
  <c r="AF333" i="46"/>
  <c r="AF438" i="46"/>
  <c r="AF110" i="46"/>
  <c r="AF103" i="46"/>
  <c r="AF117" i="46"/>
  <c r="AF257" i="46"/>
  <c r="AF317" i="46"/>
  <c r="AF344" i="46"/>
  <c r="AF413" i="46"/>
  <c r="AF86" i="46"/>
  <c r="AF214" i="46"/>
  <c r="AF108" i="46"/>
  <c r="AF111" i="46"/>
  <c r="AF194" i="46"/>
  <c r="AF125" i="46"/>
  <c r="AF284" i="46"/>
  <c r="AF375" i="46"/>
  <c r="AF83" i="46"/>
  <c r="AF431" i="46"/>
  <c r="AF407" i="46"/>
  <c r="AF384" i="46"/>
  <c r="AD427" i="46"/>
  <c r="AD237" i="46"/>
  <c r="AD432" i="46"/>
  <c r="AD406" i="46"/>
  <c r="AD139" i="46"/>
  <c r="AD323" i="46"/>
  <c r="AD158" i="46"/>
  <c r="AD431" i="46"/>
  <c r="AD344" i="46"/>
  <c r="AD312" i="46"/>
  <c r="AD366" i="46"/>
  <c r="AD356" i="46"/>
  <c r="AD362" i="46"/>
  <c r="AD225" i="46"/>
  <c r="AD417" i="46"/>
  <c r="AD196" i="46"/>
  <c r="AE107" i="46"/>
  <c r="AE114" i="46"/>
  <c r="AE229" i="46"/>
  <c r="AE425" i="46"/>
  <c r="AE285" i="46"/>
  <c r="AE279" i="46"/>
  <c r="AE410" i="46"/>
  <c r="AE355" i="46"/>
  <c r="AE83" i="46"/>
  <c r="AE88" i="46"/>
  <c r="AE241" i="46"/>
  <c r="AE401" i="46"/>
  <c r="AE424" i="46"/>
  <c r="AE400" i="46"/>
  <c r="AE91" i="46"/>
  <c r="AE192" i="46"/>
  <c r="AE313" i="46"/>
  <c r="AE236" i="46"/>
  <c r="AE334" i="46"/>
  <c r="AE323" i="46"/>
  <c r="AE106" i="46"/>
  <c r="AE168" i="46"/>
  <c r="AE244" i="46"/>
  <c r="AE419" i="46"/>
  <c r="AE94" i="46"/>
  <c r="AE423" i="46"/>
  <c r="AE430" i="46"/>
  <c r="AD335" i="46"/>
  <c r="AD233" i="46"/>
  <c r="AD361" i="46"/>
  <c r="AD194" i="46"/>
  <c r="AD322" i="46"/>
  <c r="AD400" i="46"/>
  <c r="AD440" i="46"/>
  <c r="AD303" i="46"/>
  <c r="AD329" i="46"/>
  <c r="AD442" i="46"/>
  <c r="AD360" i="46"/>
  <c r="AD346" i="46"/>
  <c r="AD244" i="46"/>
  <c r="AH157" i="46"/>
  <c r="AE157" i="46"/>
  <c r="AD407" i="46"/>
  <c r="AE81" i="46"/>
  <c r="AE92" i="46"/>
  <c r="AE103" i="46"/>
  <c r="AE102" i="46"/>
  <c r="AE322" i="46"/>
  <c r="AE332" i="46"/>
  <c r="AE251" i="46"/>
  <c r="AE115" i="46"/>
  <c r="AE109" i="46"/>
  <c r="AE120" i="46"/>
  <c r="AE273" i="46"/>
  <c r="AE110" i="46"/>
  <c r="AE413" i="46"/>
  <c r="AE411" i="46"/>
  <c r="AE406" i="46"/>
  <c r="AE155" i="46"/>
  <c r="AE183" i="46"/>
  <c r="AE224" i="46"/>
  <c r="AE242" i="46"/>
  <c r="AE402" i="46"/>
  <c r="AE291" i="46"/>
  <c r="AE118" i="46"/>
  <c r="AE163" i="46"/>
  <c r="AE233" i="46"/>
  <c r="AE212" i="46"/>
  <c r="AE310" i="46"/>
  <c r="AE252" i="46"/>
  <c r="AD292" i="46"/>
  <c r="AD300" i="46"/>
  <c r="AD351" i="46"/>
  <c r="AD313" i="46"/>
  <c r="AD125" i="46"/>
  <c r="AD333" i="46"/>
  <c r="AD375" i="46"/>
  <c r="AD209" i="46"/>
  <c r="AD387" i="46"/>
  <c r="AF319" i="46"/>
  <c r="AE319" i="46"/>
  <c r="AD345" i="46"/>
  <c r="AD204" i="46"/>
  <c r="AE177" i="46"/>
  <c r="AE188" i="46"/>
  <c r="AE185" i="46"/>
  <c r="AE90" i="46"/>
  <c r="AE216" i="46"/>
  <c r="AE295" i="46"/>
  <c r="AE284" i="46"/>
  <c r="AE166" i="46"/>
  <c r="AE187" i="46"/>
  <c r="AE397" i="46"/>
  <c r="AE311" i="46"/>
  <c r="AE414" i="46"/>
  <c r="AE398" i="46"/>
  <c r="AE240" i="46"/>
  <c r="AE30" i="46"/>
  <c r="AE105" i="46"/>
  <c r="AE84" i="46"/>
  <c r="AE31" i="46"/>
  <c r="AE222" i="46"/>
  <c r="AE250" i="46"/>
  <c r="AE309" i="46"/>
  <c r="AE86" i="46"/>
  <c r="AE387" i="46"/>
  <c r="AE429" i="46"/>
  <c r="AD297" i="46"/>
  <c r="AD425" i="46"/>
  <c r="AD228" i="46"/>
  <c r="AG113" i="46"/>
  <c r="AE113" i="46"/>
  <c r="AD410" i="46"/>
  <c r="AD350" i="46"/>
  <c r="AD422" i="46"/>
  <c r="AH175" i="46"/>
  <c r="AE175" i="46"/>
  <c r="AD367" i="46"/>
  <c r="AF164" i="46"/>
  <c r="AE164" i="46"/>
  <c r="AF172" i="46"/>
  <c r="AE172" i="46"/>
  <c r="AG97" i="46"/>
  <c r="AE97" i="46"/>
  <c r="AE209" i="46"/>
  <c r="AE82" i="46"/>
  <c r="AE329" i="46"/>
  <c r="AE253" i="46"/>
  <c r="AE318" i="46"/>
  <c r="AE287" i="46"/>
  <c r="AE218" i="46"/>
  <c r="AE198" i="46"/>
  <c r="AE315" i="46"/>
  <c r="AE211" i="46"/>
  <c r="AE111" i="46"/>
  <c r="AE237" i="46"/>
  <c r="AE337" i="46"/>
  <c r="AE178" i="46"/>
  <c r="AE399" i="46"/>
  <c r="AE356" i="46"/>
  <c r="AE108" i="46"/>
  <c r="AE98" i="46"/>
  <c r="AE96" i="46"/>
  <c r="AE95" i="46"/>
  <c r="AE189" i="46"/>
  <c r="AE104" i="46"/>
  <c r="AE328" i="46"/>
  <c r="AD419" i="46"/>
  <c r="AE131" i="46"/>
  <c r="AD131" i="46"/>
  <c r="AE268" i="46"/>
  <c r="AD268" i="46"/>
  <c r="AG342" i="46"/>
  <c r="AD342" i="46"/>
  <c r="AD377" i="46"/>
  <c r="AF274" i="46"/>
  <c r="AD274" i="46"/>
  <c r="AD420" i="46"/>
  <c r="AF308" i="46"/>
  <c r="AD308" i="46"/>
  <c r="AH365" i="46"/>
  <c r="AD365" i="46"/>
  <c r="AG343" i="46"/>
  <c r="AD343" i="46"/>
  <c r="AF338" i="46"/>
  <c r="AD338" i="46"/>
  <c r="AF357" i="46"/>
  <c r="AD357" i="46"/>
  <c r="AE331" i="46"/>
  <c r="AD331" i="46"/>
  <c r="AF245" i="46"/>
  <c r="AD245" i="46"/>
  <c r="AH223" i="46"/>
  <c r="AD223" i="46"/>
  <c r="AF339" i="46"/>
  <c r="AD339" i="46"/>
  <c r="AF271" i="46"/>
  <c r="AD271" i="46"/>
  <c r="AE296" i="46"/>
  <c r="AD296" i="46"/>
  <c r="AD229" i="46"/>
  <c r="AD421" i="46"/>
  <c r="AD198" i="46"/>
  <c r="AD428" i="46"/>
  <c r="AF280" i="46"/>
  <c r="AD280" i="46"/>
  <c r="AD236" i="46"/>
  <c r="AF248" i="46"/>
  <c r="AD248" i="46"/>
  <c r="AE215" i="46"/>
  <c r="AD215" i="46"/>
  <c r="AD369" i="46"/>
  <c r="AF330" i="46"/>
  <c r="AD330" i="46"/>
  <c r="AD441" i="46"/>
  <c r="AD408" i="46"/>
  <c r="AD309" i="46"/>
  <c r="AD287" i="46"/>
  <c r="AE276" i="46"/>
  <c r="AD276" i="46"/>
  <c r="AD253" i="46"/>
  <c r="AD381" i="46"/>
  <c r="AD414" i="46"/>
  <c r="AD295" i="46"/>
  <c r="AD385" i="46"/>
  <c r="AD299" i="46"/>
  <c r="AD439" i="46"/>
  <c r="AF261" i="46"/>
  <c r="AD261" i="46"/>
  <c r="AF358" i="46"/>
  <c r="AD358" i="46"/>
  <c r="AD370" i="46"/>
  <c r="AF282" i="46"/>
  <c r="AD282" i="46"/>
  <c r="AF364" i="46"/>
  <c r="AD364" i="46"/>
  <c r="AF325" i="46"/>
  <c r="AD325" i="46"/>
  <c r="AF324" i="46"/>
  <c r="AD324" i="46"/>
  <c r="AD332" i="46"/>
  <c r="AF354" i="46"/>
  <c r="AD354" i="46"/>
  <c r="AH203" i="46"/>
  <c r="AD203" i="46"/>
  <c r="AE283" i="46"/>
  <c r="AD283" i="46"/>
  <c r="AD291" i="46"/>
  <c r="AD222" i="46"/>
  <c r="AE231" i="46"/>
  <c r="AD231" i="46"/>
  <c r="AD211" i="46"/>
  <c r="AD423" i="46"/>
  <c r="AE294" i="46"/>
  <c r="AD294" i="46"/>
  <c r="AH239" i="46"/>
  <c r="AD239" i="46"/>
  <c r="AD320" i="46"/>
  <c r="AE205" i="46"/>
  <c r="AD205" i="46"/>
  <c r="AD311" i="46"/>
  <c r="AF396" i="46"/>
  <c r="AD396" i="46"/>
  <c r="AF277" i="46"/>
  <c r="AD277" i="46"/>
  <c r="AD409" i="46"/>
  <c r="AD242" i="46"/>
  <c r="AD252" i="46"/>
  <c r="AF269" i="46"/>
  <c r="AD269" i="46"/>
  <c r="AE302" i="46"/>
  <c r="AD302" i="46"/>
  <c r="AD337" i="46"/>
  <c r="AE298" i="46"/>
  <c r="AD298" i="46"/>
  <c r="AG140" i="46"/>
  <c r="AD140" i="46"/>
  <c r="AD341" i="46"/>
  <c r="AD310" i="46"/>
  <c r="AD255" i="46"/>
  <c r="AD383" i="46"/>
  <c r="AE281" i="46"/>
  <c r="AD281" i="46"/>
  <c r="AE200" i="46"/>
  <c r="AD200" i="46"/>
  <c r="AD401" i="46"/>
  <c r="AD234" i="46"/>
  <c r="AD227" i="46"/>
  <c r="AG340" i="46"/>
  <c r="AD340" i="46"/>
  <c r="AD328" i="46"/>
  <c r="AG352" i="46"/>
  <c r="AD352" i="46"/>
  <c r="AD386" i="46"/>
  <c r="AD405" i="46"/>
  <c r="AD374" i="46"/>
  <c r="AD319" i="46"/>
  <c r="AD217" i="46"/>
  <c r="AF232" i="46"/>
  <c r="AD232" i="46"/>
  <c r="AD402" i="46"/>
  <c r="AD263" i="46"/>
  <c r="AF259" i="46"/>
  <c r="AD259" i="46"/>
  <c r="AD363" i="46"/>
  <c r="AF37" i="46"/>
  <c r="AD37" i="46"/>
  <c r="AG42" i="46"/>
  <c r="AD42" i="46"/>
  <c r="AE314" i="46"/>
  <c r="AD314" i="46"/>
  <c r="AH275" i="46"/>
  <c r="AD275" i="46"/>
  <c r="AF347" i="46"/>
  <c r="AD347" i="46"/>
  <c r="AF267" i="46"/>
  <c r="AD267" i="46"/>
  <c r="AD251" i="46"/>
  <c r="AF327" i="46"/>
  <c r="AD327" i="46"/>
  <c r="AD411" i="46"/>
  <c r="AD250" i="46"/>
  <c r="AD243" i="46"/>
  <c r="AD378" i="46"/>
  <c r="AD424" i="46"/>
  <c r="AD384" i="46"/>
  <c r="AF272" i="46"/>
  <c r="AD272" i="46"/>
  <c r="AF51" i="46"/>
  <c r="AD51" i="46"/>
  <c r="AF25" i="46"/>
  <c r="AG25" i="46"/>
  <c r="AE13" i="46"/>
  <c r="AB28" i="46"/>
  <c r="AH28" i="46" s="1"/>
  <c r="AB101" i="46"/>
  <c r="AB293" i="46"/>
  <c r="AB262" i="46"/>
  <c r="AB169" i="46"/>
  <c r="AB173" i="46"/>
  <c r="AB301" i="46"/>
  <c r="AB87" i="46"/>
  <c r="AB256" i="46"/>
  <c r="AB116" i="46"/>
  <c r="AB437" i="46"/>
  <c r="AB418" i="46"/>
  <c r="AB264" i="46"/>
  <c r="AB167" i="46"/>
  <c r="AB321" i="46"/>
  <c r="AB154" i="46"/>
  <c r="AB434" i="46"/>
  <c r="AH434" i="46" s="1"/>
  <c r="AB371" i="46"/>
  <c r="AH371" i="46" s="1"/>
  <c r="AB100" i="46"/>
  <c r="AB307" i="46"/>
  <c r="AB174" i="46"/>
  <c r="AB376" i="46"/>
  <c r="AH376" i="46" s="1"/>
  <c r="AB112" i="46"/>
  <c r="AB182" i="46"/>
  <c r="AB191" i="46"/>
  <c r="AB171" i="46"/>
  <c r="AB368" i="46"/>
  <c r="AH368" i="46" s="1"/>
  <c r="AB221" i="46"/>
  <c r="AB190" i="46"/>
  <c r="AB161" i="46"/>
  <c r="AB186" i="46"/>
  <c r="AB415" i="46"/>
  <c r="AH415" i="46" s="1"/>
  <c r="AB32" i="46"/>
  <c r="AH32" i="46" s="1"/>
  <c r="AB60" i="46"/>
  <c r="AG60" i="46" s="1"/>
  <c r="AG349" i="46"/>
  <c r="AB40" i="46"/>
  <c r="AF40" i="46" s="1"/>
  <c r="AB29" i="46"/>
  <c r="AH29" i="46" s="1"/>
  <c r="AB326" i="46"/>
  <c r="AB394" i="46"/>
  <c r="AH394" i="46" s="1"/>
  <c r="AB208" i="46"/>
  <c r="AB151" i="46"/>
  <c r="AB316" i="46"/>
  <c r="AB412" i="46"/>
  <c r="AH412" i="46" s="1"/>
  <c r="AB159" i="46"/>
  <c r="AB210" i="46"/>
  <c r="AB128" i="46"/>
  <c r="AB426" i="46"/>
  <c r="AG426" i="46" s="1"/>
  <c r="AB359" i="46"/>
  <c r="AB193" i="46"/>
  <c r="AB180" i="46"/>
  <c r="AB201" i="46"/>
  <c r="AB380" i="46"/>
  <c r="AH380" i="46" s="1"/>
  <c r="AB99" i="46"/>
  <c r="AB220" i="46"/>
  <c r="AB85" i="46"/>
  <c r="AB382" i="46"/>
  <c r="AH382" i="46" s="1"/>
  <c r="AB179" i="46"/>
  <c r="AB372" i="46"/>
  <c r="AH372" i="46" s="1"/>
  <c r="AB176" i="46"/>
  <c r="AB288" i="46"/>
  <c r="AB75" i="46"/>
  <c r="AG75" i="46" s="1"/>
  <c r="AB207" i="46"/>
  <c r="AB388" i="46"/>
  <c r="AH388" i="46" s="1"/>
  <c r="AB270" i="46"/>
  <c r="AB305" i="46"/>
  <c r="AB202" i="46"/>
  <c r="AB195" i="46"/>
  <c r="AB404" i="46"/>
  <c r="AE404" i="46" s="1"/>
  <c r="AB395" i="46"/>
  <c r="AH395" i="46" s="1"/>
  <c r="AB278" i="46"/>
  <c r="AB249" i="46"/>
  <c r="AB286" i="46"/>
  <c r="AB304" i="46"/>
  <c r="AB197" i="46"/>
  <c r="AB230" i="46"/>
  <c r="AB265" i="46"/>
  <c r="AB162" i="46"/>
  <c r="AB219" i="46"/>
  <c r="AB238" i="46"/>
  <c r="AB247" i="46"/>
  <c r="AB246" i="46"/>
  <c r="AB127" i="46"/>
  <c r="AB306" i="46"/>
  <c r="AB235" i="46"/>
  <c r="AB403" i="46"/>
  <c r="AH403" i="46" s="1"/>
  <c r="AB184" i="46"/>
  <c r="AB93" i="46"/>
  <c r="AB254" i="46"/>
  <c r="AB416" i="46"/>
  <c r="AH416" i="46" s="1"/>
  <c r="AB80" i="46"/>
  <c r="AH80" i="46" s="1"/>
  <c r="AB70" i="46"/>
  <c r="AH70" i="46" s="1"/>
  <c r="AE51" i="46"/>
  <c r="AB58" i="46"/>
  <c r="AB53" i="46"/>
  <c r="AG53" i="46" s="1"/>
  <c r="AF43" i="46"/>
  <c r="AD31" i="46"/>
  <c r="AB33" i="46"/>
  <c r="AH33" i="46" s="1"/>
  <c r="AB55" i="46"/>
  <c r="AH55" i="46" s="1"/>
  <c r="AF42" i="46"/>
  <c r="AB54" i="46"/>
  <c r="AH54" i="46" s="1"/>
  <c r="AB76" i="46"/>
  <c r="AH76" i="46" s="1"/>
  <c r="AB41" i="46"/>
  <c r="AH41" i="46" s="1"/>
  <c r="AB74" i="46"/>
  <c r="AB38" i="46"/>
  <c r="AB46" i="46"/>
  <c r="AB68" i="46"/>
  <c r="AB47" i="46"/>
  <c r="AB77" i="46"/>
  <c r="AB35" i="46"/>
  <c r="AE59" i="46"/>
  <c r="AE65" i="46"/>
  <c r="AE66" i="46"/>
  <c r="AF34" i="46"/>
  <c r="AE62" i="46"/>
  <c r="AB48" i="46"/>
  <c r="AE49" i="46"/>
  <c r="AE37" i="46"/>
  <c r="AF56" i="46"/>
  <c r="AB52" i="46"/>
  <c r="AG52" i="46" s="1"/>
  <c r="AB63" i="46"/>
  <c r="AG63" i="46" s="1"/>
  <c r="AB61" i="46"/>
  <c r="AH61" i="46" s="1"/>
  <c r="AG39" i="46"/>
  <c r="AB57" i="46"/>
  <c r="AB45" i="46"/>
  <c r="AB36" i="46"/>
  <c r="AE64" i="46"/>
  <c r="AD438" i="46"/>
  <c r="AD30" i="46"/>
  <c r="AB50" i="46"/>
  <c r="AE60" i="46"/>
  <c r="AE71" i="46"/>
  <c r="AE69" i="46"/>
  <c r="AB44" i="46"/>
  <c r="AB67" i="46"/>
  <c r="AB73" i="46"/>
  <c r="AB72" i="46"/>
  <c r="AF430" i="46"/>
  <c r="AD436" i="46"/>
  <c r="AF428" i="46"/>
  <c r="AF406" i="46"/>
  <c r="AF410" i="46"/>
  <c r="AE421" i="46"/>
  <c r="AF441" i="46"/>
  <c r="AF402" i="46"/>
  <c r="AF440" i="46"/>
  <c r="AF425" i="46"/>
  <c r="AF424" i="46"/>
  <c r="AF439" i="46"/>
  <c r="AE420" i="46"/>
  <c r="AF427" i="46"/>
  <c r="AB18" i="46"/>
  <c r="AH18" i="46" s="1"/>
  <c r="AB21" i="46"/>
  <c r="AG21" i="46" s="1"/>
  <c r="AB20" i="46"/>
  <c r="AB19" i="46"/>
  <c r="AD41" i="46" l="1"/>
  <c r="AE418" i="46"/>
  <c r="AH418" i="46"/>
  <c r="AG437" i="46"/>
  <c r="AH437" i="46"/>
  <c r="AF426" i="46"/>
  <c r="AE54" i="46"/>
  <c r="AE80" i="46"/>
  <c r="AE55" i="46"/>
  <c r="AE53" i="46"/>
  <c r="AG50" i="46"/>
  <c r="AH50" i="46"/>
  <c r="AG48" i="46"/>
  <c r="AH48" i="46"/>
  <c r="AF35" i="46"/>
  <c r="AH35" i="46"/>
  <c r="AG46" i="46"/>
  <c r="AH46" i="46"/>
  <c r="AF58" i="46"/>
  <c r="AH58" i="46"/>
  <c r="AE246" i="46"/>
  <c r="AH246" i="46"/>
  <c r="AF230" i="46"/>
  <c r="AH230" i="46"/>
  <c r="AF195" i="46"/>
  <c r="AH195" i="46"/>
  <c r="AF288" i="46"/>
  <c r="AH288" i="46"/>
  <c r="AF193" i="46"/>
  <c r="AH193" i="46"/>
  <c r="AF210" i="46"/>
  <c r="AH210" i="46"/>
  <c r="AF316" i="46"/>
  <c r="AH316" i="46"/>
  <c r="AF394" i="46"/>
  <c r="AG186" i="46"/>
  <c r="AH186" i="46"/>
  <c r="AF112" i="46"/>
  <c r="AH112" i="46"/>
  <c r="AF100" i="46"/>
  <c r="AH100" i="46"/>
  <c r="AG256" i="46"/>
  <c r="AH256" i="46"/>
  <c r="AE293" i="46"/>
  <c r="AH293" i="46"/>
  <c r="AE38" i="46"/>
  <c r="AH38" i="46"/>
  <c r="AF235" i="46"/>
  <c r="AH235" i="46"/>
  <c r="AF219" i="46"/>
  <c r="AH219" i="46"/>
  <c r="AF197" i="46"/>
  <c r="AH197" i="46"/>
  <c r="AF202" i="46"/>
  <c r="AH202" i="46"/>
  <c r="AE388" i="46"/>
  <c r="AG176" i="46"/>
  <c r="AH176" i="46"/>
  <c r="AF85" i="46"/>
  <c r="AH85" i="46"/>
  <c r="AE201" i="46"/>
  <c r="AH201" i="46"/>
  <c r="AF359" i="46"/>
  <c r="AH359" i="46"/>
  <c r="AG151" i="46"/>
  <c r="AH151" i="46"/>
  <c r="AF326" i="46"/>
  <c r="AH326" i="46"/>
  <c r="AG161" i="46"/>
  <c r="AH161" i="46"/>
  <c r="AG171" i="46"/>
  <c r="AH171" i="46"/>
  <c r="AG376" i="46"/>
  <c r="AG87" i="46"/>
  <c r="AH87" i="46"/>
  <c r="AF101" i="46"/>
  <c r="AH101" i="46"/>
  <c r="AF44" i="46"/>
  <c r="AH44" i="46"/>
  <c r="AE36" i="46"/>
  <c r="AH36" i="46"/>
  <c r="AF93" i="46"/>
  <c r="AH93" i="46"/>
  <c r="AE306" i="46"/>
  <c r="AH306" i="46"/>
  <c r="AE395" i="46"/>
  <c r="AF305" i="46"/>
  <c r="AH305" i="46"/>
  <c r="AE207" i="46"/>
  <c r="AH207" i="46"/>
  <c r="AF220" i="46"/>
  <c r="AH220" i="46"/>
  <c r="AF190" i="46"/>
  <c r="AH190" i="46"/>
  <c r="AF191" i="46"/>
  <c r="AH191" i="46"/>
  <c r="AF301" i="46"/>
  <c r="AH301" i="46"/>
  <c r="AG169" i="46"/>
  <c r="AH169" i="46"/>
  <c r="AD437" i="46"/>
  <c r="AF72" i="46"/>
  <c r="AH72" i="46"/>
  <c r="AE70" i="46"/>
  <c r="AF45" i="46"/>
  <c r="AH45" i="46"/>
  <c r="AG68" i="46"/>
  <c r="AH68" i="46"/>
  <c r="AG184" i="46"/>
  <c r="AH184" i="46"/>
  <c r="AG127" i="46"/>
  <c r="AH127" i="46"/>
  <c r="AF238" i="46"/>
  <c r="AH238" i="46"/>
  <c r="AG265" i="46"/>
  <c r="AH265" i="46"/>
  <c r="AE270" i="46"/>
  <c r="AH270" i="46"/>
  <c r="AG179" i="46"/>
  <c r="AH179" i="46"/>
  <c r="AF99" i="46"/>
  <c r="AH99" i="46"/>
  <c r="AG180" i="46"/>
  <c r="AH180" i="46"/>
  <c r="AG128" i="46"/>
  <c r="AH128" i="46"/>
  <c r="AF208" i="46"/>
  <c r="AH208" i="46"/>
  <c r="AF221" i="46"/>
  <c r="AH221" i="46"/>
  <c r="AF307" i="46"/>
  <c r="AH307" i="46"/>
  <c r="AF154" i="46"/>
  <c r="AH154" i="46"/>
  <c r="AF116" i="46"/>
  <c r="AH116" i="46"/>
  <c r="AF173" i="46"/>
  <c r="AH173" i="46"/>
  <c r="AG262" i="46"/>
  <c r="AH262" i="46"/>
  <c r="AF67" i="46"/>
  <c r="AG67" i="46"/>
  <c r="AF57" i="46"/>
  <c r="AG57" i="46"/>
  <c r="AE33" i="46"/>
  <c r="AG33" i="46"/>
  <c r="AF382" i="46"/>
  <c r="AG382" i="46"/>
  <c r="AF380" i="46"/>
  <c r="AG380" i="46"/>
  <c r="AF368" i="46"/>
  <c r="AG368" i="46"/>
  <c r="AF77" i="46"/>
  <c r="AG77" i="46"/>
  <c r="AF371" i="46"/>
  <c r="AG371" i="46"/>
  <c r="AF167" i="46"/>
  <c r="AG167" i="46"/>
  <c r="AE52" i="46"/>
  <c r="AF47" i="46"/>
  <c r="AG47" i="46"/>
  <c r="AF74" i="46"/>
  <c r="AG74" i="46"/>
  <c r="AF162" i="46"/>
  <c r="AG162" i="46"/>
  <c r="AF372" i="46"/>
  <c r="AG372" i="46"/>
  <c r="AE29" i="46"/>
  <c r="AG29" i="46"/>
  <c r="AE32" i="46"/>
  <c r="AG32" i="46"/>
  <c r="AF174" i="46"/>
  <c r="AG174" i="46"/>
  <c r="AF434" i="46"/>
  <c r="AG434" i="46"/>
  <c r="AE28" i="46"/>
  <c r="AG28" i="46"/>
  <c r="AF73" i="46"/>
  <c r="AG73" i="46"/>
  <c r="AF55" i="46"/>
  <c r="AG55" i="46"/>
  <c r="AF80" i="46"/>
  <c r="AG80" i="46"/>
  <c r="AF415" i="46"/>
  <c r="AG415" i="46"/>
  <c r="AF182" i="46"/>
  <c r="AG182" i="46"/>
  <c r="AF264" i="46"/>
  <c r="AG264" i="46"/>
  <c r="AG54" i="46"/>
  <c r="AF54" i="46"/>
  <c r="AE254" i="46"/>
  <c r="AF254" i="46"/>
  <c r="AE278" i="46"/>
  <c r="AF278" i="46"/>
  <c r="AE159" i="46"/>
  <c r="AF159" i="46"/>
  <c r="AD151" i="46"/>
  <c r="AF151" i="46"/>
  <c r="AH60" i="46"/>
  <c r="AF60" i="46"/>
  <c r="AE437" i="46"/>
  <c r="AF437" i="46"/>
  <c r="AG61" i="46"/>
  <c r="AF61" i="46"/>
  <c r="AG70" i="46"/>
  <c r="AF70" i="46"/>
  <c r="AE247" i="46"/>
  <c r="AF247" i="46"/>
  <c r="AE304" i="46"/>
  <c r="AF304" i="46"/>
  <c r="AE169" i="46"/>
  <c r="AF169" i="46"/>
  <c r="AH63" i="46"/>
  <c r="AF63" i="46"/>
  <c r="AE41" i="46"/>
  <c r="AF41" i="46"/>
  <c r="AH53" i="46"/>
  <c r="AF53" i="46"/>
  <c r="AE184" i="46"/>
  <c r="AF184" i="46"/>
  <c r="AD127" i="46"/>
  <c r="AF127" i="46"/>
  <c r="AD265" i="46"/>
  <c r="AF265" i="46"/>
  <c r="AE286" i="46"/>
  <c r="AF286" i="46"/>
  <c r="AH75" i="46"/>
  <c r="AF75" i="46"/>
  <c r="AD128" i="46"/>
  <c r="AF128" i="46"/>
  <c r="AE412" i="46"/>
  <c r="AF412" i="46"/>
  <c r="AD262" i="46"/>
  <c r="AF262" i="46"/>
  <c r="AH52" i="46"/>
  <c r="AF52" i="46"/>
  <c r="AG76" i="46"/>
  <c r="AF76" i="46"/>
  <c r="AE416" i="46"/>
  <c r="AF416" i="46"/>
  <c r="AE403" i="46"/>
  <c r="AF403" i="46"/>
  <c r="AE249" i="46"/>
  <c r="AF249" i="46"/>
  <c r="AE321" i="46"/>
  <c r="AF321" i="46"/>
  <c r="AH67" i="46"/>
  <c r="AE67" i="46"/>
  <c r="AD48" i="46"/>
  <c r="AE48" i="46"/>
  <c r="AD35" i="46"/>
  <c r="AE35" i="46"/>
  <c r="AF46" i="46"/>
  <c r="AE46" i="46"/>
  <c r="AD33" i="46"/>
  <c r="AG93" i="46"/>
  <c r="AE93" i="46"/>
  <c r="AH162" i="46"/>
  <c r="AE162" i="46"/>
  <c r="AD305" i="46"/>
  <c r="AE305" i="46"/>
  <c r="AD220" i="46"/>
  <c r="AE220" i="46"/>
  <c r="AD190" i="46"/>
  <c r="AE190" i="46"/>
  <c r="AD191" i="46"/>
  <c r="AE191" i="46"/>
  <c r="AH174" i="46"/>
  <c r="AE174" i="46"/>
  <c r="AH77" i="46"/>
  <c r="AE77" i="46"/>
  <c r="AD238" i="46"/>
  <c r="AE238" i="46"/>
  <c r="AF179" i="46"/>
  <c r="AE179" i="46"/>
  <c r="AG99" i="46"/>
  <c r="AE99" i="46"/>
  <c r="AF180" i="46"/>
  <c r="AE180" i="46"/>
  <c r="AD208" i="46"/>
  <c r="AE208" i="46"/>
  <c r="AH40" i="46"/>
  <c r="AE40" i="46"/>
  <c r="AD415" i="46"/>
  <c r="AE415" i="46"/>
  <c r="AD221" i="46"/>
  <c r="AE221" i="46"/>
  <c r="AH182" i="46"/>
  <c r="AE182" i="46"/>
  <c r="AD307" i="46"/>
  <c r="AE307" i="46"/>
  <c r="AG154" i="46"/>
  <c r="AE154" i="46"/>
  <c r="AG116" i="46"/>
  <c r="AE116" i="46"/>
  <c r="AG173" i="46"/>
  <c r="AE173" i="46"/>
  <c r="AG72" i="46"/>
  <c r="AE72" i="46"/>
  <c r="AE61" i="46"/>
  <c r="AD45" i="46"/>
  <c r="AE45" i="46"/>
  <c r="AH47" i="46"/>
  <c r="AE47" i="46"/>
  <c r="AH74" i="46"/>
  <c r="AE74" i="46"/>
  <c r="AG58" i="46"/>
  <c r="AE58" i="46"/>
  <c r="AD193" i="46"/>
  <c r="AE193" i="46"/>
  <c r="AD316" i="46"/>
  <c r="AE316" i="46"/>
  <c r="AF186" i="46"/>
  <c r="AE186" i="46"/>
  <c r="AG112" i="46"/>
  <c r="AE112" i="46"/>
  <c r="AG100" i="46"/>
  <c r="AE100" i="46"/>
  <c r="AH73" i="46"/>
  <c r="AE73" i="46"/>
  <c r="AD50" i="46"/>
  <c r="AE50" i="46"/>
  <c r="AE63" i="46"/>
  <c r="AE76" i="46"/>
  <c r="AH57" i="46"/>
  <c r="AE57" i="46"/>
  <c r="AE75" i="46"/>
  <c r="AF68" i="46"/>
  <c r="AE68" i="46"/>
  <c r="AD32" i="46"/>
  <c r="AD219" i="46"/>
  <c r="AE219" i="46"/>
  <c r="AF176" i="46"/>
  <c r="AE176" i="46"/>
  <c r="AG85" i="46"/>
  <c r="AE85" i="46"/>
  <c r="AD326" i="46"/>
  <c r="AE326" i="46"/>
  <c r="AF161" i="46"/>
  <c r="AE161" i="46"/>
  <c r="AF171" i="46"/>
  <c r="AE171" i="46"/>
  <c r="AH167" i="46"/>
  <c r="AE167" i="46"/>
  <c r="AF87" i="46"/>
  <c r="AE87" i="46"/>
  <c r="AG101" i="46"/>
  <c r="AE101" i="46"/>
  <c r="AH286" i="46"/>
  <c r="AD286" i="46"/>
  <c r="AG404" i="46"/>
  <c r="AD404" i="46"/>
  <c r="AF270" i="46"/>
  <c r="AD270" i="46"/>
  <c r="AG412" i="46"/>
  <c r="AD412" i="46"/>
  <c r="AH264" i="46"/>
  <c r="AD264" i="46"/>
  <c r="AG416" i="46"/>
  <c r="AD416" i="46"/>
  <c r="AG403" i="46"/>
  <c r="AD403" i="46"/>
  <c r="AF246" i="46"/>
  <c r="AD246" i="46"/>
  <c r="AE230" i="46"/>
  <c r="AD230" i="46"/>
  <c r="AH249" i="46"/>
  <c r="AD249" i="46"/>
  <c r="AE195" i="46"/>
  <c r="AD195" i="46"/>
  <c r="AE288" i="46"/>
  <c r="AD288" i="46"/>
  <c r="AD382" i="46"/>
  <c r="AD380" i="46"/>
  <c r="AE210" i="46"/>
  <c r="AD210" i="46"/>
  <c r="AE394" i="46"/>
  <c r="AD394" i="46"/>
  <c r="AD368" i="46"/>
  <c r="AH321" i="46"/>
  <c r="AD321" i="46"/>
  <c r="AG418" i="46"/>
  <c r="AD418" i="46"/>
  <c r="AF256" i="46"/>
  <c r="AD256" i="46"/>
  <c r="AF293" i="46"/>
  <c r="AD293" i="46"/>
  <c r="AD40" i="46"/>
  <c r="AH254" i="46"/>
  <c r="AD254" i="46"/>
  <c r="AE235" i="46"/>
  <c r="AD235" i="46"/>
  <c r="AE197" i="46"/>
  <c r="AD197" i="46"/>
  <c r="AH278" i="46"/>
  <c r="AD278" i="46"/>
  <c r="AE202" i="46"/>
  <c r="AD202" i="46"/>
  <c r="AF388" i="46"/>
  <c r="AD388" i="46"/>
  <c r="AF201" i="46"/>
  <c r="AD201" i="46"/>
  <c r="AG359" i="46"/>
  <c r="AD359" i="46"/>
  <c r="AH159" i="46"/>
  <c r="AD159" i="46"/>
  <c r="AF376" i="46"/>
  <c r="AD376" i="46"/>
  <c r="AD371" i="46"/>
  <c r="AG44" i="46"/>
  <c r="AD44" i="46"/>
  <c r="AF36" i="46"/>
  <c r="AD36" i="46"/>
  <c r="AF38" i="46"/>
  <c r="AD38" i="46"/>
  <c r="AF306" i="46"/>
  <c r="AD306" i="46"/>
  <c r="AH247" i="46"/>
  <c r="AD247" i="46"/>
  <c r="AH304" i="46"/>
  <c r="AD304" i="46"/>
  <c r="AF395" i="46"/>
  <c r="AD395" i="46"/>
  <c r="AF207" i="46"/>
  <c r="AD207" i="46"/>
  <c r="AD372" i="46"/>
  <c r="AE426" i="46"/>
  <c r="AD426" i="46"/>
  <c r="AE434" i="46"/>
  <c r="AD434" i="46"/>
  <c r="AE301" i="46"/>
  <c r="AD301" i="46"/>
  <c r="AH19" i="46"/>
  <c r="AD19" i="46"/>
  <c r="AH20" i="46"/>
  <c r="AD20" i="46"/>
  <c r="AF418" i="46"/>
  <c r="AF404" i="46"/>
  <c r="G38" i="23" l="1"/>
  <c r="F38" i="23"/>
  <c r="E38" i="23"/>
  <c r="D38" i="23"/>
  <c r="L7" i="23"/>
  <c r="F39" i="23" l="1"/>
  <c r="B2" i="9" l="1"/>
  <c r="E7" i="23" l="1"/>
  <c r="F7" i="23" s="1"/>
  <c r="G7" i="23" s="1"/>
  <c r="H7" i="23" s="1"/>
  <c r="J7" i="23" s="1"/>
  <c r="E38" i="2"/>
  <c r="E39" i="2" l="1"/>
  <c r="G32" i="2"/>
  <c r="B2" i="2"/>
  <c r="AC21" i="39" l="1"/>
  <c r="AC16" i="39"/>
  <c r="AC18" i="39"/>
  <c r="AC19" i="39"/>
  <c r="AC20" i="39"/>
  <c r="AC17" i="39"/>
  <c r="AC15" i="39"/>
  <c r="E40" i="2"/>
  <c r="AC22" i="39" l="1"/>
  <c r="AT21" i="39"/>
  <c r="AU21" i="39"/>
  <c r="AV21" i="39"/>
  <c r="AW21" i="39"/>
  <c r="AS21" i="39"/>
  <c r="AT16" i="39"/>
  <c r="AS16" i="39"/>
  <c r="AV16" i="39"/>
  <c r="AW16" i="39"/>
  <c r="AU16" i="39"/>
  <c r="AT18" i="39"/>
  <c r="AU18" i="39"/>
  <c r="AS18" i="39"/>
  <c r="AW18" i="39"/>
  <c r="AV18" i="39"/>
  <c r="AU17" i="39"/>
  <c r="AS17" i="39"/>
  <c r="AW17" i="39"/>
  <c r="AV17" i="39"/>
  <c r="AT17" i="39"/>
  <c r="AT19" i="39"/>
  <c r="AV19" i="39"/>
  <c r="AT20" i="39"/>
  <c r="AU20" i="39"/>
  <c r="E10" i="9"/>
  <c r="E41" i="2"/>
  <c r="E13" i="9" l="1"/>
  <c r="F13" i="9" s="1"/>
  <c r="E11" i="9"/>
  <c r="F11" i="9" s="1"/>
  <c r="E12" i="9"/>
  <c r="F12" i="9" s="1"/>
  <c r="F10" i="9"/>
  <c r="J38" i="23"/>
  <c r="E42" i="2"/>
  <c r="F15" i="9" l="1"/>
  <c r="E15" i="9"/>
  <c r="E43" i="2"/>
  <c r="E44" i="2" l="1"/>
  <c r="AG399" i="46" l="1"/>
  <c r="AB13" i="46" l="1"/>
  <c r="AH13" i="46" s="1"/>
  <c r="AH12" i="46" s="1"/>
  <c r="AG16" i="46"/>
  <c r="AF28" i="46"/>
  <c r="AD24" i="46"/>
  <c r="AF29" i="46"/>
  <c r="AD14" i="46"/>
  <c r="AG14" i="46"/>
  <c r="AG19" i="46"/>
  <c r="AD17" i="46"/>
  <c r="AG20" i="46"/>
  <c r="AF27" i="46"/>
  <c r="AG13" i="46"/>
  <c r="AF18" i="46"/>
  <c r="AD25" i="46"/>
  <c r="AD142" i="46"/>
  <c r="AG142" i="46"/>
  <c r="AF142" i="46"/>
  <c r="AF126" i="46"/>
  <c r="AE126" i="46"/>
  <c r="AG126" i="46"/>
  <c r="AD353" i="46"/>
  <c r="AG353" i="46"/>
  <c r="AF353" i="46"/>
  <c r="AF389" i="46"/>
  <c r="AE389" i="46"/>
  <c r="AD389" i="46"/>
  <c r="AF132" i="46"/>
  <c r="AD132" i="46"/>
  <c r="AE132" i="46"/>
  <c r="AD124" i="46"/>
  <c r="AF124" i="46"/>
  <c r="AE124" i="46"/>
  <c r="AD136" i="46"/>
  <c r="AF136" i="46"/>
  <c r="AE136" i="46"/>
  <c r="AD144" i="46"/>
  <c r="AG144" i="46"/>
  <c r="AF144" i="46"/>
  <c r="AD391" i="46"/>
  <c r="AF391" i="46"/>
  <c r="AE391" i="46"/>
  <c r="AF260" i="46"/>
  <c r="AG260" i="46"/>
  <c r="AD260" i="46"/>
  <c r="AF149" i="46"/>
  <c r="AE149" i="46"/>
  <c r="AD149" i="46"/>
  <c r="AF89" i="46"/>
  <c r="AE89" i="46"/>
  <c r="AG89" i="46"/>
  <c r="AD134" i="46"/>
  <c r="AF134" i="46"/>
  <c r="AE134" i="46"/>
  <c r="AD160" i="46"/>
  <c r="AF160" i="46"/>
  <c r="AE160" i="46"/>
  <c r="AE79" i="46"/>
  <c r="AG79" i="46"/>
  <c r="AF79" i="46"/>
  <c r="AD390" i="46"/>
  <c r="AE390" i="46"/>
  <c r="AF390" i="46"/>
  <c r="AF153" i="46"/>
  <c r="AE153" i="46"/>
  <c r="AD153" i="46"/>
  <c r="AD147" i="46"/>
  <c r="AE147" i="46"/>
  <c r="AF147" i="46"/>
  <c r="AG146" i="46"/>
  <c r="AF146" i="46"/>
  <c r="AE146" i="46"/>
  <c r="AD348" i="46"/>
  <c r="AF348" i="46"/>
  <c r="AG348" i="46"/>
  <c r="AD130" i="46"/>
  <c r="AG130" i="46"/>
  <c r="AF130" i="46"/>
  <c r="AD392" i="46"/>
  <c r="AF392" i="46"/>
  <c r="AE392" i="46"/>
  <c r="AD135" i="46"/>
  <c r="AF135" i="46"/>
  <c r="AE135" i="46"/>
  <c r="AF16" i="46"/>
  <c r="AF393" i="46"/>
  <c r="AE393" i="46"/>
  <c r="AD137" i="46"/>
  <c r="AG137" i="46"/>
  <c r="AF137" i="46"/>
  <c r="AD152" i="46"/>
  <c r="AG152" i="46"/>
  <c r="AF152" i="46"/>
  <c r="AG78" i="46"/>
  <c r="AF78" i="46"/>
  <c r="AE78" i="46"/>
  <c r="AF156" i="46"/>
  <c r="AD156" i="46"/>
  <c r="AE156" i="46"/>
  <c r="AG165" i="46"/>
  <c r="AF165" i="46"/>
  <c r="AE165" i="46"/>
  <c r="AD148" i="46"/>
  <c r="AF148" i="46"/>
  <c r="AE148" i="46"/>
  <c r="AD133" i="46"/>
  <c r="AF133" i="46"/>
  <c r="AE133" i="46"/>
  <c r="AD95" i="46"/>
  <c r="AG209" i="46"/>
  <c r="AD174" i="46"/>
  <c r="AE263" i="46"/>
  <c r="AG160" i="46"/>
  <c r="AG233" i="46"/>
  <c r="AG250" i="46"/>
  <c r="AG323" i="46"/>
  <c r="AG318" i="46"/>
  <c r="AF30" i="46"/>
  <c r="AD106" i="46"/>
  <c r="AD83" i="46"/>
  <c r="AD100" i="46"/>
  <c r="AG124" i="46"/>
  <c r="AG305" i="46"/>
  <c r="AE373" i="46"/>
  <c r="AG387" i="46"/>
  <c r="AG225" i="46"/>
  <c r="AE377" i="46"/>
  <c r="AE380" i="46"/>
  <c r="AE150" i="46"/>
  <c r="AG294" i="46"/>
  <c r="AD186" i="46"/>
  <c r="AG324" i="46"/>
  <c r="AD107" i="46"/>
  <c r="AE371" i="46"/>
  <c r="AD163" i="46"/>
  <c r="AG136" i="46"/>
  <c r="AE128" i="46"/>
  <c r="AD105" i="46"/>
  <c r="AG217" i="46"/>
  <c r="AE369" i="46"/>
  <c r="AD110" i="46"/>
  <c r="AD113" i="46"/>
  <c r="AD47" i="46"/>
  <c r="AG243" i="46"/>
  <c r="AE361" i="46"/>
  <c r="AD185" i="46"/>
  <c r="AD182" i="46"/>
  <c r="AG333" i="46"/>
  <c r="AD53" i="46"/>
  <c r="AE350" i="46"/>
  <c r="AD94" i="46"/>
  <c r="AE255" i="46"/>
  <c r="AE345" i="46"/>
  <c r="AD161" i="46"/>
  <c r="AD97" i="46"/>
  <c r="AG394" i="46"/>
  <c r="AG280" i="46"/>
  <c r="AD46" i="46"/>
  <c r="AG300" i="46"/>
  <c r="AG273" i="46"/>
  <c r="AE258" i="46"/>
  <c r="AD120" i="46"/>
  <c r="AE142" i="46"/>
  <c r="AD56" i="46"/>
  <c r="AD145" i="46"/>
  <c r="AD187" i="46"/>
  <c r="AG238" i="46"/>
  <c r="AD180" i="46"/>
  <c r="AD126" i="46"/>
  <c r="AE353" i="46"/>
  <c r="AD114" i="46"/>
  <c r="AG355" i="46"/>
  <c r="AE139" i="46"/>
  <c r="AD179" i="46"/>
  <c r="AG229" i="46"/>
  <c r="AG270" i="46"/>
  <c r="AG354" i="46"/>
  <c r="AD168" i="46"/>
  <c r="AG389" i="46"/>
  <c r="AD188" i="46"/>
  <c r="AD112" i="46"/>
  <c r="AD169" i="46"/>
  <c r="AE366" i="46"/>
  <c r="AD178" i="46"/>
  <c r="AG192" i="46"/>
  <c r="AE360" i="46"/>
  <c r="AD116" i="46"/>
  <c r="AG159" i="46"/>
  <c r="AG230" i="46"/>
  <c r="AG210" i="46"/>
  <c r="AG278" i="46"/>
  <c r="AD118" i="46"/>
  <c r="AD66" i="46"/>
  <c r="AG201" i="46"/>
  <c r="AG292" i="46"/>
  <c r="AG132" i="46"/>
  <c r="AG271" i="46"/>
  <c r="AG282" i="46"/>
  <c r="AD104" i="46"/>
  <c r="AE339" i="46"/>
  <c r="AE346" i="46"/>
  <c r="AG222" i="46"/>
  <c r="AG194" i="46"/>
  <c r="AD173" i="46"/>
  <c r="AG249" i="46"/>
  <c r="AD92" i="46"/>
  <c r="AG322" i="46"/>
  <c r="AG317" i="46"/>
  <c r="AE378" i="46"/>
  <c r="AD52" i="46"/>
  <c r="AG321" i="46"/>
  <c r="AG289" i="46"/>
  <c r="AE144" i="46"/>
  <c r="AG223" i="46"/>
  <c r="AD157" i="46"/>
  <c r="AG326" i="46"/>
  <c r="AD62" i="46"/>
  <c r="AG240" i="46"/>
  <c r="AE138" i="46"/>
  <c r="AG40" i="46"/>
  <c r="AG276" i="46"/>
  <c r="AG237" i="46"/>
  <c r="AG274" i="46"/>
  <c r="AF50" i="46"/>
  <c r="AG226" i="46"/>
  <c r="AG304" i="46"/>
  <c r="AG391" i="46"/>
  <c r="AD183" i="46"/>
  <c r="AG398" i="46"/>
  <c r="AD167" i="46"/>
  <c r="AE260" i="46"/>
  <c r="AE383" i="46"/>
  <c r="AG149" i="46"/>
  <c r="AG312" i="46"/>
  <c r="AG328" i="46"/>
  <c r="AE42" i="46"/>
  <c r="AE129" i="46"/>
  <c r="AG306" i="46"/>
  <c r="AD89" i="46"/>
  <c r="AG224" i="46"/>
  <c r="AG241" i="46"/>
  <c r="AE43" i="46"/>
  <c r="AG198" i="46"/>
  <c r="AG239" i="46"/>
  <c r="AG134" i="46"/>
  <c r="AG235" i="46"/>
  <c r="AD115" i="46"/>
  <c r="AD71" i="46"/>
  <c r="AG297" i="46"/>
  <c r="AG397" i="46"/>
  <c r="AG215" i="46"/>
  <c r="AD60" i="46"/>
  <c r="AD79" i="46"/>
  <c r="AG248" i="46"/>
  <c r="AD64" i="46"/>
  <c r="AG208" i="46"/>
  <c r="AG205" i="46"/>
  <c r="AG390" i="46"/>
  <c r="AG242" i="46"/>
  <c r="AE140" i="46"/>
  <c r="AD109" i="46"/>
  <c r="AG268" i="46"/>
  <c r="AD90" i="46"/>
  <c r="AD170" i="46"/>
  <c r="AE265" i="46"/>
  <c r="AG309" i="46"/>
  <c r="AG315" i="46"/>
  <c r="AG232" i="46"/>
  <c r="AG190" i="46"/>
  <c r="AD91" i="46"/>
  <c r="AG296" i="46"/>
  <c r="AD177" i="46"/>
  <c r="AG269" i="46"/>
  <c r="AG153" i="46"/>
  <c r="AE358" i="46"/>
  <c r="AD74" i="46"/>
  <c r="AG147" i="46"/>
  <c r="AD184" i="46"/>
  <c r="AF33" i="46"/>
  <c r="AD146" i="46"/>
  <c r="AG285" i="46"/>
  <c r="AG291" i="46"/>
  <c r="AE261" i="46"/>
  <c r="AG364" i="46"/>
  <c r="AG281" i="46"/>
  <c r="AG290" i="46"/>
  <c r="AG356" i="46"/>
  <c r="AE349" i="46"/>
  <c r="AE351" i="46"/>
  <c r="AE266" i="46"/>
  <c r="AG193" i="46"/>
  <c r="AD58" i="46"/>
  <c r="AE348" i="46"/>
  <c r="AE257" i="46"/>
  <c r="AG218" i="46"/>
  <c r="AE130" i="46"/>
  <c r="AE370" i="46"/>
  <c r="AE376" i="46"/>
  <c r="AG131" i="46"/>
  <c r="AG357" i="46"/>
  <c r="AG298" i="46"/>
  <c r="AD81" i="46"/>
  <c r="AG254" i="46"/>
  <c r="AG200" i="46"/>
  <c r="AD117" i="46"/>
  <c r="AE384" i="46"/>
  <c r="AG284" i="46"/>
  <c r="AG219" i="46"/>
  <c r="AD143" i="46"/>
  <c r="AG252" i="46"/>
  <c r="AG334" i="46"/>
  <c r="AE342" i="46"/>
  <c r="AD55" i="46"/>
  <c r="AG212" i="46"/>
  <c r="AD98" i="46"/>
  <c r="AF32" i="46"/>
  <c r="AD155" i="46"/>
  <c r="AD154" i="46"/>
  <c r="AD172" i="46"/>
  <c r="AG204" i="46"/>
  <c r="AD93" i="46"/>
  <c r="AG327" i="46"/>
  <c r="AG303" i="46"/>
  <c r="AG392" i="46"/>
  <c r="AG329" i="46"/>
  <c r="AG316" i="46"/>
  <c r="AE347" i="46"/>
  <c r="AG279" i="46"/>
  <c r="AE363" i="46"/>
  <c r="AD171" i="46"/>
  <c r="AE386" i="46"/>
  <c r="AG228" i="46"/>
  <c r="AD96" i="46"/>
  <c r="AD88" i="46"/>
  <c r="AG203" i="46"/>
  <c r="AE352" i="46"/>
  <c r="AG253" i="46"/>
  <c r="AE365" i="46"/>
  <c r="AG231" i="46"/>
  <c r="AE338" i="46"/>
  <c r="AG293" i="46"/>
  <c r="AD108" i="46"/>
  <c r="AE379" i="46"/>
  <c r="AD164" i="46"/>
  <c r="AG337" i="46"/>
  <c r="AE264" i="46"/>
  <c r="AE127" i="46"/>
  <c r="AD68" i="46"/>
  <c r="AD85" i="46"/>
  <c r="AG221" i="46"/>
  <c r="AG277" i="46"/>
  <c r="AE381" i="46"/>
  <c r="AE344" i="46"/>
  <c r="AE343" i="46"/>
  <c r="AE44" i="46"/>
  <c r="AD65" i="46"/>
  <c r="AD70" i="46"/>
  <c r="AG295" i="46"/>
  <c r="AG216" i="46"/>
  <c r="AG319" i="46"/>
  <c r="AG206" i="46"/>
  <c r="AD99" i="46"/>
  <c r="AE39" i="46"/>
  <c r="AE362" i="46"/>
  <c r="AD61" i="46"/>
  <c r="AG267" i="46"/>
  <c r="AD189" i="46"/>
  <c r="AG325" i="46"/>
  <c r="AG34" i="46"/>
  <c r="AD77" i="46"/>
  <c r="AD54" i="46"/>
  <c r="AD80" i="46"/>
  <c r="AD75" i="46"/>
  <c r="AF48" i="46"/>
  <c r="AG207" i="46"/>
  <c r="AG301" i="46"/>
  <c r="AD162" i="46"/>
  <c r="AG51" i="46"/>
  <c r="AD102" i="46"/>
  <c r="AD119" i="46"/>
  <c r="AG135" i="46"/>
  <c r="AG38" i="46"/>
  <c r="AE259" i="46"/>
  <c r="AG287" i="46"/>
  <c r="AE335" i="46"/>
  <c r="AE141" i="46"/>
  <c r="AG214" i="46"/>
  <c r="AG299" i="46"/>
  <c r="AG199" i="46"/>
  <c r="AD82" i="46"/>
  <c r="AD69" i="46"/>
  <c r="AE372" i="46"/>
  <c r="AG195" i="46"/>
  <c r="AG396" i="46"/>
  <c r="AG202" i="46"/>
  <c r="AG36" i="46"/>
  <c r="AD87" i="46"/>
  <c r="AD176" i="46"/>
  <c r="AG283" i="46"/>
  <c r="AE262" i="46"/>
  <c r="AE341" i="46"/>
  <c r="AG388" i="46"/>
  <c r="AG245" i="46"/>
  <c r="AG244" i="46"/>
  <c r="AE137" i="46"/>
  <c r="AG41" i="46"/>
  <c r="AD72" i="46"/>
  <c r="AG213" i="46"/>
  <c r="AE385" i="46"/>
  <c r="AG302" i="46"/>
  <c r="AE359" i="46"/>
  <c r="AG236" i="46"/>
  <c r="AG158" i="46"/>
  <c r="AD73" i="46"/>
  <c r="AE152" i="46"/>
  <c r="AF31" i="46"/>
  <c r="AE367" i="46"/>
  <c r="AG330" i="46"/>
  <c r="AD122" i="46"/>
  <c r="AE340" i="46"/>
  <c r="AG310" i="46"/>
  <c r="AD67" i="46"/>
  <c r="AD86" i="46"/>
  <c r="AG275" i="46"/>
  <c r="AD111" i="46"/>
  <c r="AG395" i="46"/>
  <c r="AG45" i="46"/>
  <c r="AG311" i="46"/>
  <c r="AD121" i="46"/>
  <c r="AG251" i="46"/>
  <c r="AD103" i="46"/>
  <c r="AG37" i="46"/>
  <c r="AG332" i="46"/>
  <c r="AD76" i="46"/>
  <c r="AG234" i="46"/>
  <c r="AE256" i="46"/>
  <c r="AD123" i="46"/>
  <c r="AG125" i="46"/>
  <c r="AE151" i="46"/>
  <c r="AD84" i="46"/>
  <c r="AG197" i="46"/>
  <c r="AG288" i="46"/>
  <c r="AE375" i="46"/>
  <c r="AG313" i="46"/>
  <c r="AG35" i="46"/>
  <c r="AG286" i="46"/>
  <c r="AG196" i="46"/>
  <c r="AG308" i="46"/>
  <c r="AG314" i="46"/>
  <c r="AD175" i="46"/>
  <c r="AD78" i="46"/>
  <c r="AG246" i="46"/>
  <c r="AG320" i="46"/>
  <c r="AG191" i="46"/>
  <c r="AE374" i="46"/>
  <c r="AG156" i="46"/>
  <c r="AD59" i="46"/>
  <c r="AG227" i="46"/>
  <c r="AG220" i="46"/>
  <c r="AG272" i="46"/>
  <c r="AD165" i="46"/>
  <c r="AG331" i="46"/>
  <c r="AD181" i="46"/>
  <c r="AF49" i="46"/>
  <c r="AG211" i="46"/>
  <c r="AE336" i="46"/>
  <c r="AD166" i="46"/>
  <c r="AE382" i="46"/>
  <c r="AD63" i="46"/>
  <c r="AD57" i="46"/>
  <c r="AE368" i="46"/>
  <c r="AD101" i="46"/>
  <c r="AG307" i="46"/>
  <c r="AG148" i="46"/>
  <c r="AG133" i="46"/>
  <c r="AG247" i="46"/>
  <c r="AF13" i="46"/>
  <c r="AD13" i="46"/>
  <c r="AD28" i="46"/>
  <c r="AD29" i="46"/>
  <c r="AF20" i="46"/>
  <c r="AE20" i="46"/>
  <c r="AF19" i="46"/>
  <c r="AE19" i="46"/>
  <c r="AD22" i="46"/>
  <c r="AD23" i="46"/>
  <c r="AD27" i="46"/>
  <c r="AE16" i="46"/>
  <c r="AE25" i="46"/>
  <c r="AE24" i="46"/>
  <c r="AE26" i="46"/>
  <c r="AE21" i="46"/>
  <c r="AD21" i="46"/>
  <c r="AD18" i="46"/>
  <c r="AE18" i="46"/>
  <c r="AE15" i="46"/>
  <c r="AD15" i="46"/>
  <c r="AF17" i="46"/>
  <c r="AD16" i="46" l="1"/>
  <c r="AG12" i="46"/>
  <c r="AE12" i="46"/>
  <c r="AF12" i="46"/>
  <c r="AD12" i="46" l="1"/>
  <c r="G15" i="9" l="1"/>
  <c r="Y15" i="39" l="1"/>
  <c r="Z15" i="39" s="1"/>
  <c r="Y18" i="39" l="1"/>
  <c r="Z18" i="39" s="1"/>
  <c r="AD18" i="39" s="1"/>
  <c r="Y21" i="39"/>
  <c r="Z21" i="39" s="1"/>
  <c r="AD21" i="39" s="1"/>
  <c r="Y20" i="39"/>
  <c r="Z20" i="39" s="1"/>
  <c r="AD20" i="39" s="1"/>
  <c r="Y17" i="39"/>
  <c r="Z17" i="39" s="1"/>
  <c r="AD17" i="39" s="1"/>
  <c r="Y16" i="39"/>
  <c r="Z16" i="39" s="1"/>
  <c r="AD16" i="39" s="1"/>
  <c r="Y19" i="39"/>
  <c r="Z19" i="39" s="1"/>
  <c r="AD19" i="39" s="1"/>
  <c r="BB19" i="39" l="1"/>
  <c r="BD19" i="39" s="1"/>
  <c r="BA16" i="39"/>
  <c r="BB16" i="39"/>
  <c r="AY16" i="39"/>
  <c r="BC16" i="39"/>
  <c r="AZ16" i="39"/>
  <c r="AY17" i="39"/>
  <c r="AZ17" i="39"/>
  <c r="BA17" i="39"/>
  <c r="BB17" i="39"/>
  <c r="BC17" i="39"/>
  <c r="BA20" i="39"/>
  <c r="BD20" i="39" s="1"/>
  <c r="BB21" i="39"/>
  <c r="AY21" i="39"/>
  <c r="BA21" i="39"/>
  <c r="BC21" i="39"/>
  <c r="AZ21" i="39"/>
  <c r="BA18" i="39"/>
  <c r="BB18" i="39"/>
  <c r="AZ18" i="39"/>
  <c r="AY18" i="39"/>
  <c r="BC18" i="39"/>
  <c r="AS15" i="39"/>
  <c r="AS14" i="39" s="1"/>
  <c r="AD15" i="39"/>
  <c r="AD22" i="39" s="1"/>
  <c r="AT15" i="39"/>
  <c r="AT14" i="39" s="1"/>
  <c r="AW15" i="39"/>
  <c r="AW14" i="39" s="1"/>
  <c r="AU15" i="39"/>
  <c r="AU14" i="39" s="1"/>
  <c r="AV15" i="39"/>
  <c r="AV14" i="39" s="1"/>
  <c r="BD21" i="39" l="1"/>
  <c r="BD16" i="39"/>
  <c r="BD18" i="39"/>
  <c r="BD17" i="39"/>
  <c r="AZ15" i="39"/>
  <c r="AZ14" i="39" s="1"/>
  <c r="BA15" i="39"/>
  <c r="BA14" i="39" s="1"/>
  <c r="BB15" i="39"/>
  <c r="BB14" i="39" s="1"/>
  <c r="BC15" i="39"/>
  <c r="AY15" i="39"/>
  <c r="I13" i="9" l="1"/>
  <c r="J13" i="9" s="1"/>
  <c r="K13" i="9"/>
  <c r="K11" i="9"/>
  <c r="I11" i="9"/>
  <c r="J11" i="9" s="1"/>
  <c r="BD15" i="39"/>
  <c r="AY14" i="39"/>
  <c r="I12" i="9"/>
  <c r="J12" i="9" s="1"/>
  <c r="K12" i="9"/>
  <c r="BD14" i="39"/>
  <c r="BC14" i="39"/>
  <c r="K10" i="9" l="1"/>
  <c r="I10" i="9"/>
  <c r="H15" i="9"/>
  <c r="K14" i="9"/>
  <c r="I14" i="9"/>
  <c r="J14" i="9" s="1"/>
  <c r="J10" i="9" l="1"/>
  <c r="I1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<sst xmlns="http://schemas.openxmlformats.org/spreadsheetml/2006/main" count="1998" uniqueCount="1001">
  <si>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</si>
  <si>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</si>
  <si>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</si>
  <si>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</si>
  <si>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</si>
  <si>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</si>
  <si>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</si>
  <si>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</si>
  <si>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</si>
  <si>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</si>
  <si>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</si>
  <si>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</si>
  <si>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</si>
  <si>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</si>
  <si>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</si>
  <si>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</si>
  <si>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</si>
  <si>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</si>
  <si>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</si>
  <si>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</si>
  <si>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</si>
  <si>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</si>
  <si>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</si>
  <si>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</si>
  <si>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</si>
  <si>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</si>
  <si>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PPI</t>
  </si>
  <si>
    <t>Land Escalation</t>
  </si>
  <si>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</si>
  <si>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Financial Inputs
</t>
    </r>
    <r>
      <rPr>
        <sz val="12"/>
        <color theme="1"/>
        <rFont val="Wingdings"/>
        <charset val="2"/>
      </rPr>
      <t xml:space="preserve">l </t>
    </r>
    <r>
      <rPr>
        <sz val="12"/>
        <color theme="1"/>
        <rFont val="Century Gothic"/>
        <family val="2"/>
        <scheme val="minor"/>
      </rPr>
      <t>Other "generic" inputs</t>
    </r>
  </si>
  <si>
    <t>ten (10) yr. average Roads and Bridges Index (ABS 6427, Table 15, Index 3101)</t>
  </si>
  <si>
    <t>General Financial Inputs</t>
  </si>
  <si>
    <t>Basic Margin on 10 Yr. Bond Rate</t>
  </si>
  <si>
    <t>Market Risk Premium</t>
  </si>
  <si>
    <t>Existing Trunk Assets</t>
  </si>
  <si>
    <t>Asset ID</t>
  </si>
  <si>
    <t>Description</t>
  </si>
  <si>
    <t>Unit Rate</t>
  </si>
  <si>
    <t>Baseline Valuation</t>
  </si>
  <si>
    <t>Valuation Year</t>
  </si>
  <si>
    <t>Asset Class</t>
  </si>
  <si>
    <t>Asset Data</t>
  </si>
  <si>
    <t>Catchment No</t>
  </si>
  <si>
    <t>TenYr</t>
  </si>
  <si>
    <t>LandInd</t>
  </si>
  <si>
    <t>Totals</t>
  </si>
  <si>
    <t xml:space="preserve"> </t>
  </si>
  <si>
    <t>y</t>
  </si>
  <si>
    <t>TOTALS</t>
  </si>
  <si>
    <t>Escalation</t>
  </si>
  <si>
    <t>Option 2</t>
  </si>
  <si>
    <t>Capital Escalation - Future Cap X</t>
  </si>
  <si>
    <t>Roads and Bridges Index (ABS 6427, Table 15, Index 3101)</t>
  </si>
  <si>
    <t>Return to Navigation Pane</t>
  </si>
  <si>
    <t>Yes</t>
  </si>
  <si>
    <t>No</t>
  </si>
  <si>
    <t>DCFTRIGGER</t>
  </si>
  <si>
    <t>WACC Option to be applied in the calculation?</t>
  </si>
  <si>
    <t>Application of Discounted Cash flow</t>
  </si>
  <si>
    <t>Calculate charges using Discounted Cash flow? (Y/N)</t>
  </si>
  <si>
    <t>Catchment</t>
  </si>
  <si>
    <t>Demand</t>
  </si>
  <si>
    <t>TOTAL (A)+ (B)</t>
  </si>
  <si>
    <t>NPV Future (B)</t>
  </si>
  <si>
    <t>Existing (A)</t>
  </si>
  <si>
    <t>Existing (C)</t>
  </si>
  <si>
    <t>NPV Future (D)</t>
  </si>
  <si>
    <t>TOTAL (C)+ (D)</t>
  </si>
  <si>
    <t>Name</t>
  </si>
  <si>
    <t>Asset Usage</t>
  </si>
  <si>
    <t>Cost Allocation</t>
  </si>
  <si>
    <t>3.5% is the baseline figure quoted in LG Bulletin 06/01</t>
  </si>
  <si>
    <t>Capital Indexation Rates - Historical (June Qtr.)</t>
  </si>
  <si>
    <t>Future Trunk Assets</t>
  </si>
  <si>
    <t>Catchment Name</t>
  </si>
  <si>
    <t>Multiplier</t>
  </si>
  <si>
    <t>LGIP ID</t>
  </si>
  <si>
    <t>ID from the LGIP drawings</t>
  </si>
  <si>
    <t>Basic Asset Data</t>
  </si>
  <si>
    <t>Basic Asset Valuation</t>
  </si>
  <si>
    <t>Refined Asset Value</t>
  </si>
  <si>
    <t>Asset Attributes</t>
  </si>
  <si>
    <t>Catchment Name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</si>
  <si>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</si>
  <si>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</si>
  <si>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</si>
  <si>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</si>
  <si>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</si>
  <si>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</si>
  <si>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</si>
  <si>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</si>
  <si>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</si>
  <si>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 xml:space="preserve">Adjusted Current Day Value </t>
  </si>
  <si>
    <t>Return to "Catchment Demand"</t>
  </si>
  <si>
    <t>Return to "Future Trunk Assets"</t>
  </si>
  <si>
    <t>Term (between 15 and 30 years)</t>
  </si>
  <si>
    <t>TERM</t>
  </si>
  <si>
    <t>Location</t>
  </si>
  <si>
    <t xml:space="preserve">Author </t>
  </si>
  <si>
    <t>Land Value</t>
  </si>
  <si>
    <t>Unit Cost</t>
  </si>
  <si>
    <t>Land Valuation Type</t>
  </si>
  <si>
    <t>Land Location/Type</t>
  </si>
  <si>
    <t>Parks and Land for Community Facilities</t>
  </si>
  <si>
    <t>Local/District Park</t>
  </si>
  <si>
    <t>EXISTING TRUNK ASSETS</t>
  </si>
  <si>
    <t>Current Repalcement Cost</t>
  </si>
  <si>
    <t>Charges Escalation Rate</t>
  </si>
  <si>
    <t>Chargeind</t>
  </si>
  <si>
    <t>Return to "Existing Trunk Assets"</t>
  </si>
  <si>
    <t>DETAILED Forecast Demand Growth Profile (OPTIONAL)</t>
  </si>
  <si>
    <t>May be calculated from unit rates OR unique values can be direct entered</t>
  </si>
  <si>
    <t>Catchment Asset Allocation</t>
  </si>
  <si>
    <t>Unit Cost (m2)</t>
  </si>
  <si>
    <t>Local Government Infrastructure Plan (LGIP)</t>
  </si>
  <si>
    <t>Brisbane City Council</t>
  </si>
  <si>
    <t>Local</t>
  </si>
  <si>
    <t>Metropolitan</t>
  </si>
  <si>
    <t>District</t>
  </si>
  <si>
    <t>Sector</t>
  </si>
  <si>
    <t>Size of land (m2) (*)</t>
  </si>
  <si>
    <t>PCF154</t>
  </si>
  <si>
    <t>Service Catchment</t>
  </si>
  <si>
    <t>Contingency Cost %</t>
  </si>
  <si>
    <t>Project Owners Cost %</t>
  </si>
  <si>
    <t>Indirect Cost Escalation %</t>
  </si>
  <si>
    <t>Land Cost Valuation</t>
  </si>
  <si>
    <t>Year of Provision</t>
  </si>
  <si>
    <t>Land Cost Escalation</t>
  </si>
  <si>
    <t>Work Cost Escalation</t>
  </si>
  <si>
    <t>Total Asset Cost (escalated)</t>
  </si>
  <si>
    <t>Net Present Value of Total Asset Cost</t>
  </si>
  <si>
    <t>Work Cost              (at Base Year)</t>
  </si>
  <si>
    <t xml:space="preserve">Cost of Trunk Infrastrcutrue </t>
  </si>
  <si>
    <t>Cost per Unit Demand (Average)</t>
  </si>
  <si>
    <t>Cost per Unit Demand (Marginal)</t>
  </si>
  <si>
    <t>Size of land (m2)</t>
  </si>
  <si>
    <t>Catchment based summary of demand, infrastructure (existing and new) and cost allocation
Infrastructure Cost calculation for each catchment
Optional Discounted Cashflow</t>
  </si>
  <si>
    <t>Land for Community Facilities</t>
  </si>
  <si>
    <t>Fringe</t>
  </si>
  <si>
    <t>Urban East</t>
  </si>
  <si>
    <t>Urban North</t>
  </si>
  <si>
    <t>Urban South</t>
  </si>
  <si>
    <t>Urban West</t>
  </si>
  <si>
    <t>1,CP890177</t>
  </si>
  <si>
    <t>1,RP101654</t>
  </si>
  <si>
    <t>1,RP103015</t>
  </si>
  <si>
    <t>1,RP106705</t>
  </si>
  <si>
    <t>1,RP107116</t>
  </si>
  <si>
    <t>1,RP119961</t>
  </si>
  <si>
    <t>1,RP121595</t>
  </si>
  <si>
    <t>1,RP150414</t>
  </si>
  <si>
    <t>1,RP152452</t>
  </si>
  <si>
    <t>1,RP161848</t>
  </si>
  <si>
    <t>1,RP161907</t>
  </si>
  <si>
    <t>1,RP165938</t>
  </si>
  <si>
    <t>1,RP165973</t>
  </si>
  <si>
    <t>1,RP177899</t>
  </si>
  <si>
    <t>1,RP181933</t>
  </si>
  <si>
    <t>1,RP196225</t>
  </si>
  <si>
    <t>1,RP20184</t>
  </si>
  <si>
    <t>1,RP216985</t>
  </si>
  <si>
    <t>1,RP26143</t>
  </si>
  <si>
    <t>1,RP33074</t>
  </si>
  <si>
    <t>1,RP38120</t>
  </si>
  <si>
    <t>1,RP45362</t>
  </si>
  <si>
    <t>1,RP52192</t>
  </si>
  <si>
    <t>1,RP52193</t>
  </si>
  <si>
    <t>1,RP53920</t>
  </si>
  <si>
    <t>1,RP56537</t>
  </si>
  <si>
    <t>1,RP58389</t>
  </si>
  <si>
    <t>1,RP818259</t>
  </si>
  <si>
    <t>1,RP890175</t>
  </si>
  <si>
    <t>1,SL2423</t>
  </si>
  <si>
    <t>1,SP241681</t>
  </si>
  <si>
    <t>10,RP37442</t>
  </si>
  <si>
    <t>10,SP147134</t>
  </si>
  <si>
    <t>100,SP183599</t>
  </si>
  <si>
    <t>1000,SL6526</t>
  </si>
  <si>
    <t>101,SP183597</t>
  </si>
  <si>
    <t>102,SP102967</t>
  </si>
  <si>
    <t>105,SP165827</t>
  </si>
  <si>
    <t>11,RP37442</t>
  </si>
  <si>
    <t>11,RP70585</t>
  </si>
  <si>
    <t>11,SP237739</t>
  </si>
  <si>
    <t>110,RP18739</t>
  </si>
  <si>
    <t>111,RP37442</t>
  </si>
  <si>
    <t>111,RP69740</t>
  </si>
  <si>
    <t>1110,SL5882</t>
  </si>
  <si>
    <t>112,RP37442</t>
  </si>
  <si>
    <t>119,RP141746</t>
  </si>
  <si>
    <t>1196,SL8483</t>
  </si>
  <si>
    <t>12,RP116026</t>
  </si>
  <si>
    <t>12,RP37442</t>
  </si>
  <si>
    <t>12,RP70585</t>
  </si>
  <si>
    <t>123,RP23343</t>
  </si>
  <si>
    <t>123,RP90391</t>
  </si>
  <si>
    <t>1234,S151850</t>
  </si>
  <si>
    <t>124,RP12722</t>
  </si>
  <si>
    <t>124,RP23343</t>
  </si>
  <si>
    <t>125,RP12722</t>
  </si>
  <si>
    <t>125,RP23343</t>
  </si>
  <si>
    <t>126,RP23343</t>
  </si>
  <si>
    <t>127,RP23343</t>
  </si>
  <si>
    <t>127,RP43084</t>
  </si>
  <si>
    <t>127,RP89018</t>
  </si>
  <si>
    <t>128,RP23343</t>
  </si>
  <si>
    <t>129,RP23343</t>
  </si>
  <si>
    <t>13,RP116026</t>
  </si>
  <si>
    <t>13,RP34523</t>
  </si>
  <si>
    <t>13,RP70585</t>
  </si>
  <si>
    <t>130,RP23343</t>
  </si>
  <si>
    <t>131,RP23343</t>
  </si>
  <si>
    <t>134,RP42975</t>
  </si>
  <si>
    <t>135,RP42975</t>
  </si>
  <si>
    <t>135,RP48263</t>
  </si>
  <si>
    <t>136,RP42975</t>
  </si>
  <si>
    <t>14,RP37442</t>
  </si>
  <si>
    <t>14,RP70585</t>
  </si>
  <si>
    <t>140,RP42338</t>
  </si>
  <si>
    <t>142,RP37441</t>
  </si>
  <si>
    <t>143,RP29566</t>
  </si>
  <si>
    <t>143,RP37441</t>
  </si>
  <si>
    <t>144,RP37441</t>
  </si>
  <si>
    <t>145,RP37441</t>
  </si>
  <si>
    <t>146,RP37441</t>
  </si>
  <si>
    <t>147,RP37441</t>
  </si>
  <si>
    <t>148,RP37441</t>
  </si>
  <si>
    <t>149,RP37441</t>
  </si>
  <si>
    <t>15,RP12089</t>
  </si>
  <si>
    <t>15,RP23324</t>
  </si>
  <si>
    <t>15,RP37442</t>
  </si>
  <si>
    <t>150,RP37441</t>
  </si>
  <si>
    <t>151,RP37441</t>
  </si>
  <si>
    <t>152,RP37441</t>
  </si>
  <si>
    <t>153,RP37441</t>
  </si>
  <si>
    <t>154,RP37441</t>
  </si>
  <si>
    <t>155,RP37441</t>
  </si>
  <si>
    <t>156,RP37441</t>
  </si>
  <si>
    <t>157,RP37441</t>
  </si>
  <si>
    <t>158,RP37441</t>
  </si>
  <si>
    <t>159,RP37441</t>
  </si>
  <si>
    <t>16,RP12089</t>
  </si>
  <si>
    <t>16,RP23324</t>
  </si>
  <si>
    <t>16,RP37442</t>
  </si>
  <si>
    <t>160,RP12933</t>
  </si>
  <si>
    <t>160,RP37441</t>
  </si>
  <si>
    <t>161,RP12933</t>
  </si>
  <si>
    <t>161,RP37441</t>
  </si>
  <si>
    <t>162,RP12933</t>
  </si>
  <si>
    <t>163,RP12933</t>
  </si>
  <si>
    <t>163,SL2117</t>
  </si>
  <si>
    <t>164,RP12933</t>
  </si>
  <si>
    <t>164,RP33153</t>
  </si>
  <si>
    <t>164,SP237751</t>
  </si>
  <si>
    <t>165,RP33153</t>
  </si>
  <si>
    <t>166,RP33153</t>
  </si>
  <si>
    <t>167,RP33153</t>
  </si>
  <si>
    <t>168,RP33153</t>
  </si>
  <si>
    <t>169,RP33153</t>
  </si>
  <si>
    <t>17,RP12089</t>
  </si>
  <si>
    <t>17,RP23324</t>
  </si>
  <si>
    <t>17,RP37442</t>
  </si>
  <si>
    <t>170,RP33153</t>
  </si>
  <si>
    <t>177,RP68840</t>
  </si>
  <si>
    <t>178,RP33153</t>
  </si>
  <si>
    <t>179,RP33153</t>
  </si>
  <si>
    <t>18,RP19335</t>
  </si>
  <si>
    <t>18,RP37442</t>
  </si>
  <si>
    <t>180,RP33153</t>
  </si>
  <si>
    <t>181,RP33153</t>
  </si>
  <si>
    <t>181,RP33227</t>
  </si>
  <si>
    <t>182,RP33227</t>
  </si>
  <si>
    <t>183,RP33227</t>
  </si>
  <si>
    <t>189,RP87130</t>
  </si>
  <si>
    <t>19,RP19335</t>
  </si>
  <si>
    <t>19,RP37442</t>
  </si>
  <si>
    <t>192,RP118906</t>
  </si>
  <si>
    <t>195,RP33153</t>
  </si>
  <si>
    <t>196,RP33153</t>
  </si>
  <si>
    <t>197,RP33153</t>
  </si>
  <si>
    <t>198,RP33153</t>
  </si>
  <si>
    <t>199,RP46085</t>
  </si>
  <si>
    <t>2,RP106705</t>
  </si>
  <si>
    <t>2,RP109185</t>
  </si>
  <si>
    <t>2,RP109591</t>
  </si>
  <si>
    <t>2,RP113351</t>
  </si>
  <si>
    <t>2,RP116000</t>
  </si>
  <si>
    <t>2,RP116686</t>
  </si>
  <si>
    <t>2,RP118649</t>
  </si>
  <si>
    <t>2,RP121595</t>
  </si>
  <si>
    <t>2,RP134931</t>
  </si>
  <si>
    <t>2,RP165926</t>
  </si>
  <si>
    <t>2,RP165988</t>
  </si>
  <si>
    <t>2,RP181938</t>
  </si>
  <si>
    <t>2,RP18399</t>
  </si>
  <si>
    <t>2,RP19334</t>
  </si>
  <si>
    <t>2,RP23621</t>
  </si>
  <si>
    <t>2,RP33074</t>
  </si>
  <si>
    <t>2,RP33564</t>
  </si>
  <si>
    <t>2,RP33818</t>
  </si>
  <si>
    <t>2,RP37387</t>
  </si>
  <si>
    <t>2,RP58389</t>
  </si>
  <si>
    <t>2,RP62246</t>
  </si>
  <si>
    <t>2,RP66838</t>
  </si>
  <si>
    <t>2,RP69462</t>
  </si>
  <si>
    <t>2,RP70794</t>
  </si>
  <si>
    <t>2,RP73518</t>
  </si>
  <si>
    <t>2,RP87362</t>
  </si>
  <si>
    <t>2,RP94655</t>
  </si>
  <si>
    <t>2,SP104149</t>
  </si>
  <si>
    <t>2,SP122708</t>
  </si>
  <si>
    <t>2,SP190113</t>
  </si>
  <si>
    <t>2,SP265261</t>
  </si>
  <si>
    <t>20,RP19335</t>
  </si>
  <si>
    <t>20,RP29113</t>
  </si>
  <si>
    <t>20,RP37442</t>
  </si>
  <si>
    <t>20,RP9982</t>
  </si>
  <si>
    <t>200,RP46085</t>
  </si>
  <si>
    <t>201,RP46085</t>
  </si>
  <si>
    <t>204,RP46085</t>
  </si>
  <si>
    <t>205,RP46085</t>
  </si>
  <si>
    <t>206,RP33153</t>
  </si>
  <si>
    <t>206,RP33227</t>
  </si>
  <si>
    <t>207,RP33153</t>
  </si>
  <si>
    <t>207,RP33227</t>
  </si>
  <si>
    <t>207,RP42953</t>
  </si>
  <si>
    <t>208,RP33153</t>
  </si>
  <si>
    <t>21,RP13352</t>
  </si>
  <si>
    <t>21,RP9982</t>
  </si>
  <si>
    <t>22,RP13352</t>
  </si>
  <si>
    <t>220,RP95473</t>
  </si>
  <si>
    <t>224,RP13238</t>
  </si>
  <si>
    <t>23,RP101182</t>
  </si>
  <si>
    <t>24,RP46299</t>
  </si>
  <si>
    <t>247,RP69396</t>
  </si>
  <si>
    <t>25,RP11955</t>
  </si>
  <si>
    <t>25,RP41765</t>
  </si>
  <si>
    <t>25,RP46299</t>
  </si>
  <si>
    <t>25,SP147194</t>
  </si>
  <si>
    <t>254,RP29734</t>
  </si>
  <si>
    <t>254,RP33153</t>
  </si>
  <si>
    <t>255,RP29734</t>
  </si>
  <si>
    <t>255,RP33153</t>
  </si>
  <si>
    <t>256,RP29734</t>
  </si>
  <si>
    <t>256,RP33153</t>
  </si>
  <si>
    <t>257,RP29734</t>
  </si>
  <si>
    <t>258,RP29734</t>
  </si>
  <si>
    <t>259,RP29734</t>
  </si>
  <si>
    <t>26,RP11955</t>
  </si>
  <si>
    <t>26,RP41765</t>
  </si>
  <si>
    <t>26,RP42338</t>
  </si>
  <si>
    <t>260,RP29734</t>
  </si>
  <si>
    <t>260,RP33153</t>
  </si>
  <si>
    <t>261,RP29734</t>
  </si>
  <si>
    <t>261,RP33153</t>
  </si>
  <si>
    <t>27,RP13254</t>
  </si>
  <si>
    <t>27,RP41765</t>
  </si>
  <si>
    <t>28,RP12942</t>
  </si>
  <si>
    <t>28,RP13254</t>
  </si>
  <si>
    <t>28,RP41765</t>
  </si>
  <si>
    <t>288,RP41621</t>
  </si>
  <si>
    <t>29,RP12942</t>
  </si>
  <si>
    <t>29,RP13254</t>
  </si>
  <si>
    <t>29,RP41765</t>
  </si>
  <si>
    <t>3,RP109591</t>
  </si>
  <si>
    <t>3,RP109833</t>
  </si>
  <si>
    <t>3,RP121595</t>
  </si>
  <si>
    <t>3,RP25253</t>
  </si>
  <si>
    <t>3,RP29567</t>
  </si>
  <si>
    <t>3,RP43034</t>
  </si>
  <si>
    <t>3,RP49623</t>
  </si>
  <si>
    <t>3,RP52192</t>
  </si>
  <si>
    <t>3,RP52193</t>
  </si>
  <si>
    <t>3,RP53920</t>
  </si>
  <si>
    <t>3,RP62246</t>
  </si>
  <si>
    <t>3,RP64678</t>
  </si>
  <si>
    <t>3,RP69462</t>
  </si>
  <si>
    <t>3,RP71388</t>
  </si>
  <si>
    <t>3,RP72774</t>
  </si>
  <si>
    <t>3,RP75211</t>
  </si>
  <si>
    <t>3,RP852144</t>
  </si>
  <si>
    <t>3,SP129189</t>
  </si>
  <si>
    <t>3,SP163909</t>
  </si>
  <si>
    <t>3,SP172121</t>
  </si>
  <si>
    <t>30,RP12942</t>
  </si>
  <si>
    <t>30,RP13254</t>
  </si>
  <si>
    <t>30,RP41765</t>
  </si>
  <si>
    <t>30,RP43226</t>
  </si>
  <si>
    <t>30,SP211419</t>
  </si>
  <si>
    <t>31,RP12942</t>
  </si>
  <si>
    <t>31,RP41765</t>
  </si>
  <si>
    <t>31,RP43226</t>
  </si>
  <si>
    <t>32,RP12942</t>
  </si>
  <si>
    <t>32,RP33370</t>
  </si>
  <si>
    <t>32,RP41765</t>
  </si>
  <si>
    <t>33,RP33370</t>
  </si>
  <si>
    <t>33,RP41765</t>
  </si>
  <si>
    <t>34,RP41765</t>
  </si>
  <si>
    <t>36,RP41765</t>
  </si>
  <si>
    <t>36,SL5077</t>
  </si>
  <si>
    <t>37,RP11090</t>
  </si>
  <si>
    <t>37,RP41765</t>
  </si>
  <si>
    <t>37,RP43226</t>
  </si>
  <si>
    <t>38,RP33088</t>
  </si>
  <si>
    <t>38,RP41765</t>
  </si>
  <si>
    <t>38,RP43226</t>
  </si>
  <si>
    <t>38,SP190117</t>
  </si>
  <si>
    <t>39,RP18426</t>
  </si>
  <si>
    <t>39,RP33088</t>
  </si>
  <si>
    <t>39,RP41765</t>
  </si>
  <si>
    <t>391,SL191</t>
  </si>
  <si>
    <t>4,RP101654</t>
  </si>
  <si>
    <t>4,RP207932</t>
  </si>
  <si>
    <t>4,SP133204</t>
  </si>
  <si>
    <t>40,RP41765</t>
  </si>
  <si>
    <t>400,RP37423</t>
  </si>
  <si>
    <t>401,RP37423</t>
  </si>
  <si>
    <t>402,RP37423</t>
  </si>
  <si>
    <t>407,SL8876</t>
  </si>
  <si>
    <t>41,RP40640</t>
  </si>
  <si>
    <t>41,RP41765</t>
  </si>
  <si>
    <t>411,RP77364</t>
  </si>
  <si>
    <t>42,RP41765</t>
  </si>
  <si>
    <t>42,SP207210</t>
  </si>
  <si>
    <t>45,RP13352</t>
  </si>
  <si>
    <t>45,RP33017</t>
  </si>
  <si>
    <t>46,RP13352</t>
  </si>
  <si>
    <t>46,RP33017</t>
  </si>
  <si>
    <t>47,RP13352</t>
  </si>
  <si>
    <t>48,RP13352</t>
  </si>
  <si>
    <t>49,RP13352</t>
  </si>
  <si>
    <t>5,RP107282</t>
  </si>
  <si>
    <t>5,RP149942</t>
  </si>
  <si>
    <t>5,RP19306</t>
  </si>
  <si>
    <t>5,RP29665</t>
  </si>
  <si>
    <t>5,RP34520</t>
  </si>
  <si>
    <t>5,RP52192</t>
  </si>
  <si>
    <t>5,RP52193</t>
  </si>
  <si>
    <t>5,RP64619</t>
  </si>
  <si>
    <t>5,RP82789</t>
  </si>
  <si>
    <t>5,SP147165</t>
  </si>
  <si>
    <t>50,RP13352</t>
  </si>
  <si>
    <t>50,RP42975</t>
  </si>
  <si>
    <t>51,RP42975</t>
  </si>
  <si>
    <t>539,RP41730</t>
  </si>
  <si>
    <t>56,RP29521</t>
  </si>
  <si>
    <t>583,SL11966</t>
  </si>
  <si>
    <t>59,RP66177</t>
  </si>
  <si>
    <t>6,RP107282</t>
  </si>
  <si>
    <t>6,RP188374</t>
  </si>
  <si>
    <t>6,RP19306</t>
  </si>
  <si>
    <t>6,RP34520</t>
  </si>
  <si>
    <t>6,RP64678</t>
  </si>
  <si>
    <t>6,RP82789</t>
  </si>
  <si>
    <t>60,RP18424</t>
  </si>
  <si>
    <t>61,RP18424</t>
  </si>
  <si>
    <t>62,RP136019</t>
  </si>
  <si>
    <t>62,RP18424</t>
  </si>
  <si>
    <t>63,RP12532</t>
  </si>
  <si>
    <t>63,RP18424</t>
  </si>
  <si>
    <t>64,RP12532</t>
  </si>
  <si>
    <t>64,RP18424</t>
  </si>
  <si>
    <t>641,RP141707</t>
  </si>
  <si>
    <t>65,RP12532</t>
  </si>
  <si>
    <t>65,RP18424</t>
  </si>
  <si>
    <t>65,RP9172</t>
  </si>
  <si>
    <t>66,RP18424</t>
  </si>
  <si>
    <t>66,RP29521</t>
  </si>
  <si>
    <t>67,RP18424</t>
  </si>
  <si>
    <t>67,RP29521</t>
  </si>
  <si>
    <t>672,RP135329</t>
  </si>
  <si>
    <t>7,RP152454</t>
  </si>
  <si>
    <t>7,RP34520</t>
  </si>
  <si>
    <t>7,RP52192</t>
  </si>
  <si>
    <t>7,RP52193</t>
  </si>
  <si>
    <t>7,RP69607</t>
  </si>
  <si>
    <t>74,RP13149</t>
  </si>
  <si>
    <t>749,SL4818</t>
  </si>
  <si>
    <t>797,RP207932</t>
  </si>
  <si>
    <t>8,RP29589</t>
  </si>
  <si>
    <t>8,RP42953</t>
  </si>
  <si>
    <t>8,SP124360</t>
  </si>
  <si>
    <t>81,RP18827</t>
  </si>
  <si>
    <t>81,RP37441</t>
  </si>
  <si>
    <t>82,RP18827</t>
  </si>
  <si>
    <t>83,RP18827</t>
  </si>
  <si>
    <t>83,RP65335</t>
  </si>
  <si>
    <t>832,RP113984</t>
  </si>
  <si>
    <t>84,RP18827</t>
  </si>
  <si>
    <t>8433,RP157838</t>
  </si>
  <si>
    <t>85,RP23343</t>
  </si>
  <si>
    <t>86,RP23343</t>
  </si>
  <si>
    <t>87,RP23343</t>
  </si>
  <si>
    <t>87,SP177099</t>
  </si>
  <si>
    <t>88,RP23343</t>
  </si>
  <si>
    <t>89,RP23343</t>
  </si>
  <si>
    <t>897,RP40784</t>
  </si>
  <si>
    <t>9,RP107282</t>
  </si>
  <si>
    <t>9,RP29589</t>
  </si>
  <si>
    <t>9,RP37442</t>
  </si>
  <si>
    <t>9,RP42953</t>
  </si>
  <si>
    <t>9,RP52192</t>
  </si>
  <si>
    <t>9,RP68484</t>
  </si>
  <si>
    <t>9,RP99702</t>
  </si>
  <si>
    <t>90,RP23343</t>
  </si>
  <si>
    <t>903,RP153832</t>
  </si>
  <si>
    <t>91,RP23343</t>
  </si>
  <si>
    <t>92,RP23343</t>
  </si>
  <si>
    <t>93,RP23343</t>
  </si>
  <si>
    <t>93,RP56326</t>
  </si>
  <si>
    <t>986,SL3307</t>
  </si>
  <si>
    <t>998,RP836603</t>
  </si>
  <si>
    <t>1,RP1150</t>
  </si>
  <si>
    <t>1,RP119043</t>
  </si>
  <si>
    <t>1,RP12518</t>
  </si>
  <si>
    <t>1,RP84549</t>
  </si>
  <si>
    <t>1,RP98793</t>
  </si>
  <si>
    <t>1,SL8254</t>
  </si>
  <si>
    <t>1,SP265623</t>
  </si>
  <si>
    <t>100,SP183597</t>
  </si>
  <si>
    <t>101,SP102966</t>
  </si>
  <si>
    <t>11,RP161903</t>
  </si>
  <si>
    <t>12,SP169873</t>
  </si>
  <si>
    <t>13,RP11750</t>
  </si>
  <si>
    <t>13,RP161905</t>
  </si>
  <si>
    <t>14,RP33654</t>
  </si>
  <si>
    <t>15,RP10445</t>
  </si>
  <si>
    <t>15,RP11750</t>
  </si>
  <si>
    <t>15,RP33654</t>
  </si>
  <si>
    <t>167,RP207879</t>
  </si>
  <si>
    <t>2,RP26216</t>
  </si>
  <si>
    <t>2,RP98149</t>
  </si>
  <si>
    <t>2,SP183578</t>
  </si>
  <si>
    <t>20,RP33017</t>
  </si>
  <si>
    <t>249,S2714</t>
  </si>
  <si>
    <t>25,RP26178</t>
  </si>
  <si>
    <t>25,SP211316</t>
  </si>
  <si>
    <t>27,RP50038</t>
  </si>
  <si>
    <t>28,B32290</t>
  </si>
  <si>
    <t>32,RP20726</t>
  </si>
  <si>
    <t>323,SP274200</t>
  </si>
  <si>
    <t>4,RP119275</t>
  </si>
  <si>
    <t>4,RP50858</t>
  </si>
  <si>
    <t>42,RP43226</t>
  </si>
  <si>
    <t>457,RP37423</t>
  </si>
  <si>
    <t>457,SP259917</t>
  </si>
  <si>
    <t>499,CP852757</t>
  </si>
  <si>
    <t>5,RP50910</t>
  </si>
  <si>
    <t>5,RP81376</t>
  </si>
  <si>
    <t>56,RP4601</t>
  </si>
  <si>
    <t>58,CP841291</t>
  </si>
  <si>
    <t>597,SP241724</t>
  </si>
  <si>
    <t>6,RP47412</t>
  </si>
  <si>
    <t>67,RP12508</t>
  </si>
  <si>
    <t>7,SP124009</t>
  </si>
  <si>
    <t>73,SP250398</t>
  </si>
  <si>
    <t>736,RP105052</t>
  </si>
  <si>
    <t>8888,SP253425</t>
  </si>
  <si>
    <t>900,SP259749</t>
  </si>
  <si>
    <t>A,SP245492</t>
  </si>
  <si>
    <t>6,SP266267</t>
  </si>
  <si>
    <t>2,SP270507</t>
  </si>
  <si>
    <t>101,SP102967</t>
  </si>
  <si>
    <t>Local/District</t>
  </si>
  <si>
    <t>local</t>
  </si>
  <si>
    <t xml:space="preserve">COUNCIL LAND BRISB-004/0170-4 ^01186 </t>
  </si>
  <si>
    <t xml:space="preserve">COUNCIL LAND BRISB-000/0039   ^02056 </t>
  </si>
  <si>
    <t xml:space="preserve">COUNCIL LAND BRISB-000/0555   ^09168 </t>
  </si>
  <si>
    <t xml:space="preserve">COUNCIL LAND BRISB-000/0035   ^05692 </t>
  </si>
  <si>
    <t xml:space="preserve">COUNCIL LAND BRISB-000/0108   ^04347 </t>
  </si>
  <si>
    <t xml:space="preserve">OPENS SPACE LAND-000/0099   ^07148 </t>
  </si>
  <si>
    <t xml:space="preserve">COUNCIL LAND BRISB-000/0695   ^03708 </t>
  </si>
  <si>
    <t xml:space="preserve">COUNCIL LAND BRISB-000/0089   ^01136 </t>
  </si>
  <si>
    <t xml:space="preserve">COUNCIL LAND BRISB-000/0042-A ^00029 </t>
  </si>
  <si>
    <t xml:space="preserve">COUNCIL LAND BRISB-003/0031-4 ^07348 </t>
  </si>
  <si>
    <t xml:space="preserve">OPENS SPACE LAND-000/0085   ^08353 </t>
  </si>
  <si>
    <t xml:space="preserve">COUNCIL LAND BRISB-000/0705   ^03708 </t>
  </si>
  <si>
    <t xml:space="preserve">OPENS SPACE LAND-003/1105-4 ^04519 </t>
  </si>
  <si>
    <t>OPENS SPACE LAND-000/0011   ^03664 PERFORMANCE SPACE</t>
  </si>
  <si>
    <t>COUNCIL LAND BRISB-008/0053-4 ^03261 COMMUNITY SERVICE/GROUP</t>
  </si>
  <si>
    <t xml:space="preserve">OPENS SPACE LAND-001/0055-4 ^06665 </t>
  </si>
  <si>
    <t>OPENS SPACE LAND-000/0247   ^09069 COMMUNITY SERVICE/GROUP</t>
  </si>
  <si>
    <t xml:space="preserve">COUNCIL LAND BRISB-000/0316   ^06924 </t>
  </si>
  <si>
    <t>OPENS SPACE LAND-000/0026   ^00119 COMMUNITY SERVICE/GROUP</t>
  </si>
  <si>
    <t xml:space="preserve">COUNCIL LAND BRISB-000/0059   ^04346 </t>
  </si>
  <si>
    <t xml:space="preserve">OPENS SPACE LAND-000/1595   ^06194 </t>
  </si>
  <si>
    <t xml:space="preserve">OPENS SPACE LAND-000/1498   ^00926 </t>
  </si>
  <si>
    <t xml:space="preserve">COUNCIL LAND BRISB-000/0008   ^03263 </t>
  </si>
  <si>
    <t xml:space="preserve">COUNCIL LAND BRISB-000/0008   ^03055 </t>
  </si>
  <si>
    <t xml:space="preserve">COUNCIL LAND BRISB-000/0026   ^03055 </t>
  </si>
  <si>
    <t xml:space="preserve">OPENS SPACE LAND-000/0020   ^05831 </t>
  </si>
  <si>
    <t xml:space="preserve">COUNCIL LAND BRISB-000/0035   ^00159 </t>
  </si>
  <si>
    <t>OPENS SPACE LAND-003/0021-4 ^10940 COMMUNITY SERVICE/GROUP</t>
  </si>
  <si>
    <t xml:space="preserve">OPENS SPACE LAND-001/0044-4 ^09677 </t>
  </si>
  <si>
    <t xml:space="preserve">COUNCIL LAND BRISB-000/0044   ^03028 </t>
  </si>
  <si>
    <t xml:space="preserve">000/0140   ^10405 .TARRAGINDI .WELLER RD .140 </t>
  </si>
  <si>
    <t xml:space="preserve">OPENS SPACE LAND-000/1409   ^00901 </t>
  </si>
  <si>
    <t xml:space="preserve">OPENS SPACE LAND-002/0508-4 ^10898 </t>
  </si>
  <si>
    <t xml:space="preserve">COUNCIL LAND BRISB-0006-0065-4 ^09495 </t>
  </si>
  <si>
    <t>COUNCIL LAND BRISB-000/0134   ^06809 COMMUNITY SERVICE/GROUP</t>
  </si>
  <si>
    <t xml:space="preserve">001/0030-4 ^03241.WINDSOR.EDGAR ST.30. </t>
  </si>
  <si>
    <t>COUNCIL LAND BRISB-002/0137-4 ^09492 LIBRARY</t>
  </si>
  <si>
    <t>COUNCIL LAND BRISB-002/0137-4 ^09492 COMMUNITY SPACE</t>
  </si>
  <si>
    <t>006/0020-4 ^11303 FERNY GROVE.TRAMWAY ST.0020 COMMUNITY SERVICE/GROUP</t>
  </si>
  <si>
    <t>OPENS SPACE LAND-001/1407-4 ^00901 COMMUNITY SPACE</t>
  </si>
  <si>
    <t xml:space="preserve">COUNCIL LAND BRISB-000/0074   ^04394 </t>
  </si>
  <si>
    <t xml:space="preserve">001/0142-4 ^01072.MORNINGSIDE.BEVERLEY ST.0142 </t>
  </si>
  <si>
    <t xml:space="preserve">OPENS SPACE LAND-000/0018   ^05340 </t>
  </si>
  <si>
    <t xml:space="preserve">OPENS SPACE LAND-000/0014   ^02268 </t>
  </si>
  <si>
    <t xml:space="preserve">COUNCIL LAND BRISB-001/0175-4 ^03246 </t>
  </si>
  <si>
    <t xml:space="preserve">OPENS SPACE LAND-000/0041   ^00159 </t>
  </si>
  <si>
    <t xml:space="preserve">OPENS SPACE LAND-000/0016   ^02268 </t>
  </si>
  <si>
    <t>COUNCIL LAND BRISB-003/0047-4 ^01136 AQUATIC FACILITIES</t>
  </si>
  <si>
    <t>OPENS SPACE LAND-001/0046-4 ^03671 COMMUNITY SERVICE/GROUP</t>
  </si>
  <si>
    <t xml:space="preserve">OPENS SPACE LAND-000/0017-A ^03127 </t>
  </si>
  <si>
    <t xml:space="preserve">OPENS SPACE LAND-000/1405   ^00901 </t>
  </si>
  <si>
    <t xml:space="preserve">COUNCIL LAND BRISB-000/0078   ^04394 </t>
  </si>
  <si>
    <t xml:space="preserve">OPENS SPACE LAND-000/0017   ^04491 </t>
  </si>
  <si>
    <t xml:space="preserve">COUNCIL LAND BRISB-000/0013   ^09305 </t>
  </si>
  <si>
    <t xml:space="preserve">COUNCIL LAND BRISB-000/0039   ^00159 </t>
  </si>
  <si>
    <t xml:space="preserve">COUNCIL LAND BRISB-000/0042   ^05256 </t>
  </si>
  <si>
    <t xml:space="preserve">OPENS SPACE LAND-001/0019-4 ^04491 </t>
  </si>
  <si>
    <t xml:space="preserve">COUNCIL LAND BRISB-002/0044-4 ^05256 </t>
  </si>
  <si>
    <t xml:space="preserve">OPENS SPACE LAND-000/0023   ^04491 </t>
  </si>
  <si>
    <t xml:space="preserve">OPENS SPACE LAND-000/0027   ^04491 </t>
  </si>
  <si>
    <t xml:space="preserve">OPENS SPACE LAND-000/0029   ^04491 </t>
  </si>
  <si>
    <t>OPENS SPACE LAND-000/0021   ^02216 COMMUNITY SERVICE/GROUP</t>
  </si>
  <si>
    <t xml:space="preserve">OPENS SPACE LAND-000/0076   ^08498 </t>
  </si>
  <si>
    <t xml:space="preserve">OPENS SPACE LAND-001/0031-4 ^04491 </t>
  </si>
  <si>
    <t xml:space="preserve">OPENS SPACE LAND-000/0033   ^04491 </t>
  </si>
  <si>
    <t xml:space="preserve">OPENS SPACE LAND-000/0071   ^08419 </t>
  </si>
  <si>
    <t xml:space="preserve">COUNCIL LAND BRISB-000/0063-A ^02359 </t>
  </si>
  <si>
    <t xml:space="preserve">COUNCIL LAND BRISB-000/0082   ^04394 </t>
  </si>
  <si>
    <t xml:space="preserve">OPENS SPACE LAND-000/0035   ^04491 </t>
  </si>
  <si>
    <t xml:space="preserve">OPENS SPACE LAND-000/0037   ^04491 </t>
  </si>
  <si>
    <t xml:space="preserve">OPENS SPACE LAND-000/0075   ^10282 </t>
  </si>
  <si>
    <t>OPENS SPACE LAND-000/0079   ^10282 COMMUNITY SERVICE/GROUP</t>
  </si>
  <si>
    <t xml:space="preserve">COUNCIL LAND BRISB-001/0468-4 ^08597 </t>
  </si>
  <si>
    <t xml:space="preserve">OPENS SPACE LAND-000/0083   ^10282 </t>
  </si>
  <si>
    <t xml:space="preserve">OPENS SPACE LAND-000/1383   ^00901 </t>
  </si>
  <si>
    <t xml:space="preserve">COUNCIL LAND BRISB-001/0086-4 ^04394 </t>
  </si>
  <si>
    <t xml:space="preserve">OPENS SPACE LAND-000/0055   ^04720 </t>
  </si>
  <si>
    <t xml:space="preserve">COUNCIL LAND BRISB-000/0026   ^02118 </t>
  </si>
  <si>
    <t xml:space="preserve">COUNCIL LAND BRISB-001/0641-4 ^07695-OXLEY RD.0641 </t>
  </si>
  <si>
    <t xml:space="preserve">COUNCIL LAND BRISB-000/0032   ^06506 </t>
  </si>
  <si>
    <t xml:space="preserve">COUNCIL LAND BRISB-000/0026-A ^02118 </t>
  </si>
  <si>
    <t xml:space="preserve">COUNCIL LAND BRISB-000/0030   ^06506 </t>
  </si>
  <si>
    <t xml:space="preserve">COUNCIL LAND BRISB-000/0026-B ^02118 </t>
  </si>
  <si>
    <t xml:space="preserve">COUNCIL LAND BRISB-000/0028   ^06506 </t>
  </si>
  <si>
    <t xml:space="preserve">COUNCIL LAND BRISB-000/0026-C ^02118 </t>
  </si>
  <si>
    <t xml:space="preserve">COUNCIL LAND BRISB-000/0026   ^06506 </t>
  </si>
  <si>
    <t xml:space="preserve">OPENS SPACE LAND-000/0033   ^07765 </t>
  </si>
  <si>
    <t xml:space="preserve">COUNCIL LAND BRISB-000/0182   ^06410 </t>
  </si>
  <si>
    <t xml:space="preserve">OPENS SPACE LAND-000/1381   ^00901 </t>
  </si>
  <si>
    <t xml:space="preserve">COUNCIL LAND BRISB-000/0026-D ^02118 </t>
  </si>
  <si>
    <t xml:space="preserve">COUNCIL LAND BRISB-000/0024   ^06506 </t>
  </si>
  <si>
    <t xml:space="preserve">COUNCIL LAND BRISB-000/0026-E ^06506 </t>
  </si>
  <si>
    <t xml:space="preserve">COUNCIL LAND BRISB-000/0022   ^06506 </t>
  </si>
  <si>
    <t xml:space="preserve">COUNCIL LAND BRISB-000/0074   ^04229 </t>
  </si>
  <si>
    <t xml:space="preserve">COUNCIL LAND BRISB-000/0018   ^06506 </t>
  </si>
  <si>
    <t xml:space="preserve">COUNCIL LAND BRISB-000/0076   ^04229 </t>
  </si>
  <si>
    <t xml:space="preserve">COUNCIL LAND BRISB-000/0016   ^06506 </t>
  </si>
  <si>
    <t xml:space="preserve">COUNCIL LAND BRISB-000/0078   ^04229 </t>
  </si>
  <si>
    <t xml:space="preserve">COUNCIL LAND BRISB-000/0014   ^06506 </t>
  </si>
  <si>
    <t xml:space="preserve">OPENS SPACE LAND-000/0021   ^08831 </t>
  </si>
  <si>
    <t xml:space="preserve">COUNCIL LAND BRISB-000/0184   ^06410 </t>
  </si>
  <si>
    <t xml:space="preserve">OPENS SPACE LAND-000/1379   ^00901 </t>
  </si>
  <si>
    <t xml:space="preserve">COUNCIL LAND BRISB-000/0015   ^08039 </t>
  </si>
  <si>
    <t xml:space="preserve">COUNCIL LAND BRISB-000/0080   ^04229 </t>
  </si>
  <si>
    <t xml:space="preserve">COUNCIL LAND BRISB-000/0017   ^08039 </t>
  </si>
  <si>
    <t xml:space="preserve">COUNCIL LAND BRISB-000/0012   ^06506 </t>
  </si>
  <si>
    <t xml:space="preserve">COUNCIL LAND BRISB-001/0019-4 ^08039 </t>
  </si>
  <si>
    <t xml:space="preserve">COUNCIL LAND BRISB-000/0021   ^08039 </t>
  </si>
  <si>
    <t>OPENS SPACE LAND-002/0007-4 ^03256 COMMUNITY SERVICE/GROUP</t>
  </si>
  <si>
    <t xml:space="preserve">COUNCIL LAND BRISB-000/0023   ^08039 </t>
  </si>
  <si>
    <t xml:space="preserve">COUNCIL LAND BRISB-002/0038-4 ^02661 </t>
  </si>
  <si>
    <t>002/0028-4 ^07509.CARINA.NYRANG ST.0028 LIBRARY</t>
  </si>
  <si>
    <t xml:space="preserve">COUNCIL LAND BRISB-000/0036-A ^02661 </t>
  </si>
  <si>
    <t xml:space="preserve">COUNCIL LAND BRISB-001/0036-4 ^02661 </t>
  </si>
  <si>
    <t xml:space="preserve">COUNCIL LAND BRISB-000/0034-A ^02661 </t>
  </si>
  <si>
    <t xml:space="preserve">COUNCIL LAND BRISB-000/0006   ^10652 </t>
  </si>
  <si>
    <t xml:space="preserve">COUNCIL LAND BRISB-000/0008   ^10652 </t>
  </si>
  <si>
    <t xml:space="preserve">OPENS SPACE LAND-000/0040   ^03088 </t>
  </si>
  <si>
    <t xml:space="preserve">COUNCIL LAND BRISB-000/0186   ^06410 </t>
  </si>
  <si>
    <t xml:space="preserve">OPENS SPACE LAND-000/1377   ^00901 </t>
  </si>
  <si>
    <t xml:space="preserve">COUNCIL LAND BRISB-000/0010   ^10652 </t>
  </si>
  <si>
    <t xml:space="preserve">OPENS SPACE LAND-000/0026   ^00494 </t>
  </si>
  <si>
    <t xml:space="preserve">COUNCIL LAND BRISB-000/0026   ^10652 </t>
  </si>
  <si>
    <t xml:space="preserve">COUNCIL LAND BRISB-000/0028   ^10652 </t>
  </si>
  <si>
    <t xml:space="preserve">COUNCIL LAND BRISB-001/0014-4 ^06287 </t>
  </si>
  <si>
    <t xml:space="preserve">OPENS SPACE LAND-000/1375   ^00901 </t>
  </si>
  <si>
    <t xml:space="preserve">COUNCIL LAND BRISB-000/0030   ^10652 </t>
  </si>
  <si>
    <t xml:space="preserve">COUNCIL LAND BRISB-000/0032   ^10652 </t>
  </si>
  <si>
    <t xml:space="preserve">COUNCIL LAND BRISB-000/0062-A ^08502 </t>
  </si>
  <si>
    <t xml:space="preserve">COUNCIL LAND BRISB-000/0064-A ^08502 </t>
  </si>
  <si>
    <t xml:space="preserve">COUNCIL LAND BRISB-000/0066-A ^08502 </t>
  </si>
  <si>
    <t>OPENS SPACE LAND-000/0089   ^02584 COMMUNITY SERVICE/GROUP</t>
  </si>
  <si>
    <t xml:space="preserve">COUNCIL LAND BRISB-000/0038   ^09702 </t>
  </si>
  <si>
    <t xml:space="preserve">OPENS SPACE LAND-000/1373   ^00901 </t>
  </si>
  <si>
    <t>COUNCIL LAND BRISB-000/0011-A ^13240 COMMUNITY SPACE</t>
  </si>
  <si>
    <t xml:space="preserve">COUNCIL LAND BRISB-000/0032-A ^10652 </t>
  </si>
  <si>
    <t xml:space="preserve">COUNCIL LAND BRISB-000/0030-A ^10652 </t>
  </si>
  <si>
    <t xml:space="preserve">COUNCIL LAND BRISB-000/0028-A ^10652 </t>
  </si>
  <si>
    <t xml:space="preserve">COUNCIL LAND BRISB-000/0026-A ^10652 </t>
  </si>
  <si>
    <t xml:space="preserve">OPENS SPACE LAND-000/0108   ^10075 </t>
  </si>
  <si>
    <t xml:space="preserve">COUNCIL LAND BRISB-000/0035-A ^05692 </t>
  </si>
  <si>
    <t xml:space="preserve">COUNCIL LAND BRISB-001/0026-4 ^08490 </t>
  </si>
  <si>
    <t xml:space="preserve">OPENS SPACE LAND-000/0020   ^04918 </t>
  </si>
  <si>
    <t>OPENS SPACE LAND-000/0069   ^07275 COMMUNITY SERVICE/GROUP</t>
  </si>
  <si>
    <t xml:space="preserve">COUNCIL LAND BRISB-000/0247   ^02793 </t>
  </si>
  <si>
    <t xml:space="preserve">COUNCIL LAND BRISB-000/0014   ^05340-JOSLING ST. </t>
  </si>
  <si>
    <t xml:space="preserve">OPENS SPACE LAND-001/0356-4 ^08576 </t>
  </si>
  <si>
    <t xml:space="preserve">COUNCIL LAND BRISB-000/0693   ^03708 </t>
  </si>
  <si>
    <t xml:space="preserve">COUNCIL LAND BRISB-000/0080   ^08938 </t>
  </si>
  <si>
    <t xml:space="preserve">COUNCIL LAND BRISB-000/0100   ^03703 </t>
  </si>
  <si>
    <t xml:space="preserve">OPENS SPACE LAND-000/0130   ^08981 </t>
  </si>
  <si>
    <t xml:space="preserve">COUNCIL LAND BRISB-001/0446-4 ^00926 </t>
  </si>
  <si>
    <t xml:space="preserve">COUNCIL LAND BRISB-000/0095   ^05059 </t>
  </si>
  <si>
    <t xml:space="preserve">COUNCIL LAND BRISB-000/0044-A ^09702 </t>
  </si>
  <si>
    <t xml:space="preserve">COUNCIL LAND BRISB-000/0407   ^02048 </t>
  </si>
  <si>
    <t xml:space="preserve">COUNCIL LAND BRISB-000/0053   ^04346 </t>
  </si>
  <si>
    <t>COUNCIL LAND BRISB-000/0069   ^02599 COMMUNITY SERVICE/GROUP</t>
  </si>
  <si>
    <t>OPENS SPACE LAND-000/0061   ^01048 COMMUNITY SERVICE/GROUP</t>
  </si>
  <si>
    <t>OPENS SPACE LAND-001/1490-4 ^00926 COMMUNITY SERVICE/GROUP</t>
  </si>
  <si>
    <t xml:space="preserve">COUNCIL LAND BRISB-000/0037   ^00159 </t>
  </si>
  <si>
    <t xml:space="preserve">COUNCIL LAND BRISB-000/0026   ^10433 </t>
  </si>
  <si>
    <t xml:space="preserve">OPENS SPACE LAND-000/0046   ^00930 </t>
  </si>
  <si>
    <t xml:space="preserve">COUNCIL LAND BRISB-000/0004   ^04766 </t>
  </si>
  <si>
    <t xml:space="preserve">COUNCIL LAND BRISB-000/0088   ^02561 </t>
  </si>
  <si>
    <t xml:space="preserve">OPENS SPACE LAND-001/0102-4 ^08232 </t>
  </si>
  <si>
    <t>COUNCIL LAND BRISB-003/0030-4 ^03607 COMMUNITY SERVICE/GROUP</t>
  </si>
  <si>
    <t>COUNCIL LAND BRISB-000/1873   ^06194 COMMUNITY SPACE</t>
  </si>
  <si>
    <t xml:space="preserve">COUNCIL LAND BRISB-005/0547-4 ^10349 </t>
  </si>
  <si>
    <t xml:space="preserve">COUNCIL LAND BRISB-000/0011   ^14877 </t>
  </si>
  <si>
    <t xml:space="preserve">COUNCIL LAND BRISB-002/0056-4 ^00173 </t>
  </si>
  <si>
    <t>COUNCIL LAND BRISB-002/0060-4 ^09252 COMMUNITY SERVICE/GROUP</t>
  </si>
  <si>
    <t xml:space="preserve">COUNCIL LAND BRISB-000/0040   ^09702 </t>
  </si>
  <si>
    <t xml:space="preserve">COUNCIL LAND BRISB-000/0016   ^09268 </t>
  </si>
  <si>
    <t xml:space="preserve">OPENS SPACE LAND-000/1371   ^00901 </t>
  </si>
  <si>
    <t xml:space="preserve">COUNCIL LAND BRISB-000/0020   ^05246 </t>
  </si>
  <si>
    <t>OPENS SPACE LAND-000/0110   ^10075 COMMUNITY SERVICE/GROUP</t>
  </si>
  <si>
    <t xml:space="preserve">OPENS SPACE LAND-000/0112   ^10075 </t>
  </si>
  <si>
    <t xml:space="preserve">COUNCIL LAND BRISB-000/0118-A ^10075 </t>
  </si>
  <si>
    <t>COUNCIL LAND BRISB-000/0120   ^10075 COMMUNITY SERVICE/GROUP</t>
  </si>
  <si>
    <t xml:space="preserve">COUNCIL LAND BRISB-000/0010-A ^10652 </t>
  </si>
  <si>
    <t xml:space="preserve">COUNCIL LAND BRISB-000/0038   ^01064 </t>
  </si>
  <si>
    <t xml:space="preserve">COUNCIL LAND BRISB-000/0008-A ^10652 </t>
  </si>
  <si>
    <t xml:space="preserve">COUNCIL LAND BRISB-000/0038-A ^01064 </t>
  </si>
  <si>
    <t xml:space="preserve">COUNCIL LAND BRISB-000/0052   ^07692 </t>
  </si>
  <si>
    <t xml:space="preserve">COUNCIL LAND BRISB-000/0006-A ^10652 </t>
  </si>
  <si>
    <t xml:space="preserve">COUNCIL LAND BRISB-000/0337   ^01010 </t>
  </si>
  <si>
    <t xml:space="preserve">COUNCIL LAND BRISB-000/0018   ^05246 </t>
  </si>
  <si>
    <t xml:space="preserve">COUNCIL LAND BRISB-000/0335   ^01010 </t>
  </si>
  <si>
    <t>OPENS SPACE LAND-000/0098   ^10782 COMMUNITY SERVICE/GROUP</t>
  </si>
  <si>
    <t>OPENS SPACE LAND-000/0171   ^01316 COMMUNITY SERVICE/GROUP</t>
  </si>
  <si>
    <t xml:space="preserve">COUNCIL LAND BRISB-000/0333   ^01010 </t>
  </si>
  <si>
    <t xml:space="preserve">COUNCIL LAND BRISB-000/0022   ^08178 </t>
  </si>
  <si>
    <t>OPENS SPACE LAND-000/0060   ^05775 COMMUNITY SERVICE/GROUP</t>
  </si>
  <si>
    <t xml:space="preserve">OPENS SPACE LAND-001/0021-4 ^08152 </t>
  </si>
  <si>
    <t xml:space="preserve">COUNCIL LAND BRISB-001/0086-4 ^02561 </t>
  </si>
  <si>
    <t xml:space="preserve">COUNCIL LAND BRISB-000/0024   ^08178 </t>
  </si>
  <si>
    <t xml:space="preserve">OPENS SPACE LAND-001/0026-4 ^04074 </t>
  </si>
  <si>
    <t xml:space="preserve">OPENS SPACE LAND-000/0045   ^03222 </t>
  </si>
  <si>
    <t xml:space="preserve">COUNCIL LAND BRISB-000/0029   ^04644 </t>
  </si>
  <si>
    <t xml:space="preserve">OPENS SPACE LAND-000/0043   ^03222 </t>
  </si>
  <si>
    <t xml:space="preserve">COUNCIL LAND BRISB-000/0027   ^04644 </t>
  </si>
  <si>
    <t xml:space="preserve">OPENS SPACE LAND-000/0041   ^03222 </t>
  </si>
  <si>
    <t xml:space="preserve">COUNCIL LAND BRISB-000/0025   ^04644 </t>
  </si>
  <si>
    <t xml:space="preserve">OPENS SPACE LAND-000/0039   ^03222 </t>
  </si>
  <si>
    <t xml:space="preserve">OPENS SPACE LAND-000/0037   ^03222 </t>
  </si>
  <si>
    <t xml:space="preserve">OPENS SPACE LAND-000/0035   ^03222 </t>
  </si>
  <si>
    <t xml:space="preserve">OPENS SPACE LAND-000/0019   ^08152 </t>
  </si>
  <si>
    <t xml:space="preserve">COUNCIL LAND BRISB-000/0084   ^02561 </t>
  </si>
  <si>
    <t>COUNCIL LAND BRISB-000/0670   ^08804 COMMUNITY SERVICE/GROUP</t>
  </si>
  <si>
    <t xml:space="preserve">OPENS SPACE LAND-001/0033-4 ^03222 </t>
  </si>
  <si>
    <t xml:space="preserve">COUNCIL LAND BRISB-000/0017   ^04644 </t>
  </si>
  <si>
    <t xml:space="preserve">OPENS SPACE LAND-000/0031   ^03222 </t>
  </si>
  <si>
    <t>COUNCIL LAND BRISB-001/0015-4 ^04644 VISUAL ARTS</t>
  </si>
  <si>
    <t xml:space="preserve">COUNCIL LAND BRISB-000/0054   ^00482 </t>
  </si>
  <si>
    <t xml:space="preserve">COUNCIL LAND BRISB-000/0082   ^02561 </t>
  </si>
  <si>
    <t xml:space="preserve">OPENS SPACE LAND-000/0055   ^06092 </t>
  </si>
  <si>
    <t xml:space="preserve">COUNCIL LAND BRISB-000/0056   ^00482 </t>
  </si>
  <si>
    <t xml:space="preserve">COUNCIL LAND BRISB-000/0080   ^02561 </t>
  </si>
  <si>
    <t xml:space="preserve">OPENS SPACE LAND-002/0067-4 ^10123 </t>
  </si>
  <si>
    <t xml:space="preserve">OPENS SPACE LAND-000/0057   ^06092 </t>
  </si>
  <si>
    <t xml:space="preserve">COUNCIL LAND BRISB-001/0058-4 ^00482 </t>
  </si>
  <si>
    <t xml:space="preserve">COUNCIL LAND BRISB-000/0078   ^02561 </t>
  </si>
  <si>
    <t>OPENS SPACE LAND-000/0022   ^04918 COMMUNITY SERVICE/GROUP</t>
  </si>
  <si>
    <t xml:space="preserve">OPENS SPACE LAND-000/0284   ^04332 </t>
  </si>
  <si>
    <t xml:space="preserve">COUNCIL LAND BRISB-000/0691   ^03708 </t>
  </si>
  <si>
    <t>COUNCIL LAND O'SIDE BRISB-000/0770   ^11547 COMMUNITY SPACE</t>
  </si>
  <si>
    <t>COUNCIL LAND BRISB-000/0030   ^01546-BROWNE ST LIBRARY</t>
  </si>
  <si>
    <t>OPENS SPACE LAND-002/0033-4 ^09642 PERFORMANCE SPACE</t>
  </si>
  <si>
    <t xml:space="preserve">OPENS SPACE LAND-001/1547-4 ^06194 </t>
  </si>
  <si>
    <t xml:space="preserve">COUNCIL LAND BRISB-000/0012   ^03263 </t>
  </si>
  <si>
    <t xml:space="preserve">COUNCIL LAND BRISB-000/0014   ^03055 </t>
  </si>
  <si>
    <t xml:space="preserve">COUNCIL LAND BRISB-001/0028-4 ^03055 </t>
  </si>
  <si>
    <t xml:space="preserve">OPENS SPACE LAND-000/0019   ^05391 </t>
  </si>
  <si>
    <t xml:space="preserve">OPENS SPACE LAND-000/0051-A ^02359 </t>
  </si>
  <si>
    <t xml:space="preserve">COUNCIL LAND BRISB-000/0006   ^09630 </t>
  </si>
  <si>
    <t xml:space="preserve">OPENS SPACE LAND-000/0048   ^10432 </t>
  </si>
  <si>
    <t xml:space="preserve">COUNCIL LAND BRISB-001/0029-4 ^05692 </t>
  </si>
  <si>
    <t xml:space="preserve">COUNCIL LAND BRISB-000/0061   ^00884 </t>
  </si>
  <si>
    <t>COUNCIL LAND BRISB-001/0116-4 ^04069 COMMUNITY SERVICE/GROUP</t>
  </si>
  <si>
    <t xml:space="preserve">OPENS SPACE LAND-004/0098-4 ^03922 </t>
  </si>
  <si>
    <t xml:space="preserve">COUNCIL LAND BRISB-001/0015-4~^05613 </t>
  </si>
  <si>
    <t xml:space="preserve">COUNCIL LAND BRISB-002/0075-4 ^08938 </t>
  </si>
  <si>
    <t xml:space="preserve">OPENS SPACE LAND-000/0059   ^06092 </t>
  </si>
  <si>
    <t xml:space="preserve">COUNCIL LAND BRISB-000/0060   ^00482 </t>
  </si>
  <si>
    <t xml:space="preserve">COUNCIL LAND BRISB-000/0076   ^02561 </t>
  </si>
  <si>
    <t>COUNCIL LAND BRISB-004/0028-4 ^09630 COMMUNITY SERVICE/GROUP</t>
  </si>
  <si>
    <t>009/0340-4 ^10824.ZILLMERE.ZILLMERE INDOOR SPORT AND RECREATION</t>
  </si>
  <si>
    <t>OPENS SPACE LAND-000/0061   ^06092 COMMUNITY SERVICE/GROUP</t>
  </si>
  <si>
    <t>COUNCIL LAND BRISB-000/0074   ^02561 COMMUNITY SPACE</t>
  </si>
  <si>
    <t xml:space="preserve">COUNCIL LAND BRISB-000/0024   ^09630 </t>
  </si>
  <si>
    <t xml:space="preserve">OPENS SPACE LAND-000/0063   ^06092 </t>
  </si>
  <si>
    <t xml:space="preserve">COUNCIL LAND BRISB-000/0084   ^11695 </t>
  </si>
  <si>
    <t xml:space="preserve">COUNCIL LAND BRISB-000/0072   ^02561 </t>
  </si>
  <si>
    <t xml:space="preserve">COUNCIL LAND BRISB-000/0094   ^11695 </t>
  </si>
  <si>
    <t xml:space="preserve">COUNCIL LAND BRISB-000/0070   ^02561 </t>
  </si>
  <si>
    <t xml:space="preserve">COUNCIL LAND BRISB-000/0068   ^02561 </t>
  </si>
  <si>
    <t xml:space="preserve">COUNCIL LAND BRISB-000/0064   ^02561 </t>
  </si>
  <si>
    <t>COUNCIL LAND BRISB-000/0574   ^07484 COMMUNITY SERVICE/GROUP</t>
  </si>
  <si>
    <t xml:space="preserve">COUNCIL LAND BRISB-004/0048-4 ^04896 </t>
  </si>
  <si>
    <t xml:space="preserve">COUNCIL LAND BRISB-000/0062   ^02561 </t>
  </si>
  <si>
    <t>COUNCIL LAND BRISB-000/0037   ^04766 LIBRARY</t>
  </si>
  <si>
    <t xml:space="preserve">OPENS SPACE LAND-000/0021   ^05315 </t>
  </si>
  <si>
    <t xml:space="preserve">COUNCIL LAND BRISB-000/0060   ^02561 </t>
  </si>
  <si>
    <t xml:space="preserve">COUNCIL LAND BRISB-000/0027   ^04128 </t>
  </si>
  <si>
    <t>COUNCIL LAND BRISB-005/1406-4 ^00926 COMMUNITY SERVICE/GROUP</t>
  </si>
  <si>
    <t>COUNCIL LAND BRISB-000/0057   ^04334 VISUAL ARTS</t>
  </si>
  <si>
    <t xml:space="preserve">OPENS SPACE LAND-001/0023-4 ^05315 </t>
  </si>
  <si>
    <t xml:space="preserve">COUNCIL LAND BRISB-000/0058   ^02561 </t>
  </si>
  <si>
    <t xml:space="preserve">COUNCIL LAND BRISB-000/0024   ^00587 </t>
  </si>
  <si>
    <t xml:space="preserve">OPENS SPACE LAND-000/1385   ^00901 </t>
  </si>
  <si>
    <t>OPENS SPACE LAND-001/1391-4 ^00901 INDOOR SPORT AND RECREATION</t>
  </si>
  <si>
    <t xml:space="preserve">CONSERVATION LAND-003/0531-4 ^08954 </t>
  </si>
  <si>
    <t xml:space="preserve">COUNCIL LAND BRISB-000/0056   ^02561 </t>
  </si>
  <si>
    <t xml:space="preserve">COUNCIL LAND BRISB-000/0066   ^00793 </t>
  </si>
  <si>
    <t>COUNCIL LAND BRISB-000/0068   ^00793 COMMUNITY SERVICE/GROUP</t>
  </si>
  <si>
    <t xml:space="preserve">COUNCIL LAND BRISB-000/0070   ^00793 </t>
  </si>
  <si>
    <t xml:space="preserve">OPENS SPACE LAND-003/1076-4 ^06978 </t>
  </si>
  <si>
    <t>COUNCIL LAND BRISB-000/0001   ^00805 COMMUNITY SERVICE/GROUP</t>
  </si>
  <si>
    <t xml:space="preserve">COUNCIL LAND BRISB-000/0054   ^02561 </t>
  </si>
  <si>
    <t xml:space="preserve">OPENS SPACE LAND-001/0139-4 ^01806 </t>
  </si>
  <si>
    <t xml:space="preserve">COUNCIL LAND BRISB-000/0052   ^02561 </t>
  </si>
  <si>
    <t xml:space="preserve">COUNCIL LAND BRISBANE-000/0022   ^1116 </t>
  </si>
  <si>
    <t xml:space="preserve">COUNCIL LAND BRISB-000/0043   ^03750 </t>
  </si>
  <si>
    <t xml:space="preserve">OPENS SPACE LAND-000/0356   ^10013 </t>
  </si>
  <si>
    <t xml:space="preserve">COUNCIL LAND BRISB-000/0045   ^03750 </t>
  </si>
  <si>
    <t xml:space="preserve">OPENS SPACE LAND-000/0354   ^10013 </t>
  </si>
  <si>
    <t xml:space="preserve">COUNCIL LAND BRISB-000/0047   ^03750 </t>
  </si>
  <si>
    <t xml:space="preserve">COUNCIL LAND BRISB-000/0049   ^03750 </t>
  </si>
  <si>
    <t xml:space="preserve">COUNCIL LAND BRISB-000/0051   ^03750 </t>
  </si>
  <si>
    <t xml:space="preserve">COUNCIL LAND BRISB-000/0059   ^07841 </t>
  </si>
  <si>
    <t xml:space="preserve">COUNCIL LAND BRISB-000/0024   ^10940 </t>
  </si>
  <si>
    <t xml:space="preserve">COUNCIL LAND BRISB-000/0035   ^10432 </t>
  </si>
  <si>
    <t>COUNCIL LAND BRISB-000/0814   ^07695 AQUATIC FACILITIES</t>
  </si>
  <si>
    <t xml:space="preserve">COUNCIL LAND BRISB-000/0064   ^03793 </t>
  </si>
  <si>
    <t xml:space="preserve">COUNCIL LAND BRISB-000/0016   ^03263 </t>
  </si>
  <si>
    <t xml:space="preserve">COUNCIL LAND BRISB-000/0016   ^03055 </t>
  </si>
  <si>
    <t>COUNCIL LAND BRISB-000/0300   ^09239 LIBRARY</t>
  </si>
  <si>
    <t xml:space="preserve">OPENS SPACE LAND-000/0063   ^08163 </t>
  </si>
  <si>
    <t xml:space="preserve">COUNCIL LAND BRISB-001/0384-4 ^07190 </t>
  </si>
  <si>
    <t xml:space="preserve">COUNCIL LAND BRISB-000/0053   ^03750 </t>
  </si>
  <si>
    <t xml:space="preserve">COUNCIL LAND BRISB-000/0038   ^00029 </t>
  </si>
  <si>
    <t xml:space="preserve">COUNCIL LAND BRISB-000/0040   ^00029 </t>
  </si>
  <si>
    <t xml:space="preserve">COUNCIL LAND BRISB-000/0063   ^06828 </t>
  </si>
  <si>
    <t xml:space="preserve">OPENS SPACE LAND-000/0943   ^07695 </t>
  </si>
  <si>
    <t xml:space="preserve">OPENS SPACE LAND-003/0199-4 ^01414 </t>
  </si>
  <si>
    <t xml:space="preserve">COUNCIL LAND BRISB-000/0056   ^09028 </t>
  </si>
  <si>
    <t xml:space="preserve">COUNCIL LAND BRISB-002/0065-4 ^07841 </t>
  </si>
  <si>
    <t xml:space="preserve">OPENS SPACE LAND-001/0156-4 ^00787 </t>
  </si>
  <si>
    <t>COUNCIL LAND BRISB-000/0037   ^10432 COMMUNITY SERVICE/GROUP</t>
  </si>
  <si>
    <t xml:space="preserve">OPENS SPACE LAND-000/0062   ^03793 </t>
  </si>
  <si>
    <t xml:space="preserve">OPENS SPACE LAND-000/0055-A ^02359 </t>
  </si>
  <si>
    <t xml:space="preserve">OPENS SPACE LAND-000/0041   ^08257 </t>
  </si>
  <si>
    <t xml:space="preserve">COUNCIL LAND BRISB-000/0010   ^06669 </t>
  </si>
  <si>
    <t xml:space="preserve">COUNCIL LAND BRISB-000/0073   ^04334 </t>
  </si>
  <si>
    <t xml:space="preserve">COUNCIL LAND BRISB-000/0146   ^02856 </t>
  </si>
  <si>
    <t xml:space="preserve">COUNCIL LAND BRISB-000/0069   ^04334 </t>
  </si>
  <si>
    <t xml:space="preserve">COUNCIL LAND BRISB-001/0007-4 ^00805 </t>
  </si>
  <si>
    <t xml:space="preserve">COUNCIL LAND BRISB-000/0067   ^04334 </t>
  </si>
  <si>
    <t xml:space="preserve">COUNCIL LAND BRISB-000/0005   ^00805 </t>
  </si>
  <si>
    <t xml:space="preserve">COUNCIL LAND BRISB-000/0065   ^04334 </t>
  </si>
  <si>
    <t xml:space="preserve">OPENS SPACE LAND-000/0031   ^05577 </t>
  </si>
  <si>
    <t xml:space="preserve">COUNCIL LAND BRISB-000/0003   ^00805 </t>
  </si>
  <si>
    <t xml:space="preserve">COUNCIL LAND BRISB-000/0063   ^04334 </t>
  </si>
  <si>
    <t xml:space="preserve">OPENS SPACE LAND-000/0106   ^06078 </t>
  </si>
  <si>
    <t xml:space="preserve">COUNCIL LAND BRISB-000/0061   ^04334 </t>
  </si>
  <si>
    <t xml:space="preserve">OPENS SPACE LAND-000/0034   ^03341 </t>
  </si>
  <si>
    <t xml:space="preserve">COUNCIL LAND BRISB-000/0059   ^04334 </t>
  </si>
  <si>
    <t xml:space="preserve">OPENS SPACE LAND-000/0036   ^03341 </t>
  </si>
  <si>
    <t xml:space="preserve">OPENS SPACE LAND-000/0037   ^02648 </t>
  </si>
  <si>
    <t xml:space="preserve">OPENS SPACE LAND-000/0005-A ^10940 </t>
  </si>
  <si>
    <t xml:space="preserve">OPENS SPACE LAND-000/0060   ^03793 </t>
  </si>
  <si>
    <t xml:space="preserve">COUNCIL LAND BRISB-000/0018   ^03263 </t>
  </si>
  <si>
    <t xml:space="preserve">COUNCIL LAND BRISB-001/0018-4 ^03055 </t>
  </si>
  <si>
    <t>OPENS SPACE LAND-000/0128   ^06958 COMMUNITY SERVICE/GROUP</t>
  </si>
  <si>
    <t xml:space="preserve">COUNCIL LAND BRISB-000/0020-A ^08742 </t>
  </si>
  <si>
    <t xml:space="preserve">COUNCIL LAND BRISB-000/0020   ^06506 </t>
  </si>
  <si>
    <t xml:space="preserve">OPENS SPACE LAND-000/1353   ^00901 </t>
  </si>
  <si>
    <t xml:space="preserve">OPENS SPACE LAND-001/0037-4 ^08257 </t>
  </si>
  <si>
    <t xml:space="preserve">COUNCIL LAND BRISB-002/0042-4 ^07692 </t>
  </si>
  <si>
    <t>COUNCIL LAND BRISB-001/0011-4 ^01363-BOYDE RD COMMUNITY SPACE</t>
  </si>
  <si>
    <t>COUNCIL LAND BRISB-001/0011-4 ^01363-BOYDE RD LIBRARY</t>
  </si>
  <si>
    <t>COUNCIL LAND BRISB-001/0011-4 ^01363-BOYDE RD COMMUNITY SERVICE/GROUP</t>
  </si>
  <si>
    <t xml:space="preserve">COUNCIL LAND BRISB-000/0015   ^05878 </t>
  </si>
  <si>
    <t xml:space="preserve">OPENS SPACE LAND-002/1367-4 ^00901 </t>
  </si>
  <si>
    <t>COUNCIL LAND BRISB-000/0017   ^05878 LIBRARY</t>
  </si>
  <si>
    <t xml:space="preserve">COUNCIL LAND BRISB-000/0019   ^05878 </t>
  </si>
  <si>
    <t>COUNCIL LAND BRISB-001/0070-4 ^07187 COMMUNITY SERVICE/GROUP</t>
  </si>
  <si>
    <t xml:space="preserve">OPENS SPACE LAND-000/0632   ^10381 </t>
  </si>
  <si>
    <t>COUNCIL LAND BRISB-000/0021   ^05878 COMMUNITY SERVICE/GROUP</t>
  </si>
  <si>
    <t xml:space="preserve">OPENS SPACE LAND-000/0033   ^06383 </t>
  </si>
  <si>
    <t xml:space="preserve">OPENS SPACE LAND-000/0044   ^05152 </t>
  </si>
  <si>
    <t xml:space="preserve">OPENS SPACE LAND-000/0042   ^05152 </t>
  </si>
  <si>
    <t xml:space="preserve">OPENS SPACE LAND-000/0040   ^05152 </t>
  </si>
  <si>
    <t>OPENS SPACE LAND-001/0071-4 ^00159 AQUATIC FACILITIES</t>
  </si>
  <si>
    <t xml:space="preserve">OPENS SPACE LAND-000/0038   ^05152 </t>
  </si>
  <si>
    <t xml:space="preserve">OPENS SPACE LAND-000/0036   ^05152 </t>
  </si>
  <si>
    <t xml:space="preserve">OPENS SPACE LAND-000/0279   ^01901 </t>
  </si>
  <si>
    <t>COUNCIL LAND BRISB-000/0029   ^04438 COMMUNITY SPACE</t>
  </si>
  <si>
    <t xml:space="preserve">OPENS SPACE LAND-000/0039   ^08257 </t>
  </si>
  <si>
    <t xml:space="preserve">OPENS SPACE LAND-000/1411   ^00901 </t>
  </si>
  <si>
    <t xml:space="preserve">000/0052-A ^07692 / PART OF NEW FARM RSL </t>
  </si>
  <si>
    <t xml:space="preserve">COUNCIL LAND BRISB-001/0020-4 ^03263 </t>
  </si>
  <si>
    <t>COUNCIL LAND BRISB-000/0038   ^00396 COMMUNITY SERVICE/GROUP</t>
  </si>
  <si>
    <t xml:space="preserve">OPENS SPACE LAND-000/0019   ^06673 </t>
  </si>
  <si>
    <t xml:space="preserve">OPENS SPACE LAND-000/0034   ^05152 </t>
  </si>
  <si>
    <t xml:space="preserve">OPENS SPACE LAND-000/0558   ^04580 </t>
  </si>
  <si>
    <t xml:space="preserve">OPENS SPACE LAND-000/0032   ^05152 </t>
  </si>
  <si>
    <t xml:space="preserve">OPENS SPACE LAND-000/0030   ^05152 </t>
  </si>
  <si>
    <t xml:space="preserve">OPENS SPACE LAND-000/0028   ^05152 </t>
  </si>
  <si>
    <t xml:space="preserve">OPENS SPACE LAND-003/0071-4 ^03967 </t>
  </si>
  <si>
    <t xml:space="preserve">COUNCIL LAND BRISB-000/0020-A ^03263 </t>
  </si>
  <si>
    <t>OPENS SPACE LAND-002/1176-4 ^10349 COMMUNITY SERVICE/GROUP</t>
  </si>
  <si>
    <t>COMMUNITY SERVICE/GROUP</t>
  </si>
  <si>
    <t>COMMUNITY SPACE</t>
  </si>
  <si>
    <t>LIBRARY</t>
  </si>
  <si>
    <t>AQUATIC FACILITIES</t>
  </si>
  <si>
    <t>PERFORMANCE SPACE</t>
  </si>
  <si>
    <t>VISUAL ARTS</t>
  </si>
  <si>
    <t>INDOOR SPORT AND RECREATION</t>
  </si>
  <si>
    <t>Area size (*)</t>
  </si>
  <si>
    <t>Utility allowance ($56,000/site)</t>
  </si>
  <si>
    <t>CDE-CF-001</t>
  </si>
  <si>
    <t>EAF-CF-001</t>
  </si>
  <si>
    <t>MIT-CF-001</t>
  </si>
  <si>
    <t>ROC-CF-001</t>
  </si>
  <si>
    <t>WES-CF-001</t>
  </si>
  <si>
    <t>WSR-CF-001</t>
  </si>
  <si>
    <t xml:space="preserve">PCF72 </t>
  </si>
  <si>
    <t xml:space="preserve">PCF131 </t>
  </si>
  <si>
    <t xml:space="preserve">PCF275 </t>
  </si>
  <si>
    <t xml:space="preserve">PCF192  </t>
  </si>
  <si>
    <t xml:space="preserve">PCF153  </t>
  </si>
  <si>
    <t>Land acquisition, basic site preparation and connection to services to provide DISTRICT LIBRARY</t>
  </si>
  <si>
    <t>Land acquisition, basic site preparation and connection to services to provide DISTRICT COMMUNITY HUB</t>
  </si>
  <si>
    <t>Land acquisition, basic site preparation and connection to services to provide DISTRICT INTEGRATED FACILITY</t>
  </si>
  <si>
    <t>Land acquisition, basic site preparation and connection to services to provide LOCAL COMMUNITY CENTRE</t>
  </si>
  <si>
    <t>Land acquisition, basic site preparation and connection to services to provide LOCAL COMMUNITY CENTRE AND LIBRARY EXTENSION</t>
  </si>
  <si>
    <t>Site preparation and connection to services (direct construction) cost  ($)</t>
  </si>
  <si>
    <t>Carseldine / Bracken Ridge</t>
  </si>
  <si>
    <t>Eagle Farm/ Hamiton</t>
  </si>
  <si>
    <t xml:space="preserve">Mitchelton Centre Neighbourhood Plan area </t>
  </si>
  <si>
    <t>NW corner Miles Platting Road and Gardner Road</t>
  </si>
  <si>
    <t>South Brisbane Riverside Neighbourhood Plan area</t>
  </si>
  <si>
    <t>Lutwyche Road Corridor Neighbourhood Plan</t>
  </si>
  <si>
    <t>IND-CF-001</t>
  </si>
  <si>
    <t>Basic site preparation and connection to services to provide District Community Hub</t>
  </si>
  <si>
    <t xml:space="preserve">Witton Barracks </t>
  </si>
  <si>
    <t>Catchment Demand(equivalent persons)</t>
  </si>
  <si>
    <t>Local (single catchment servicing)</t>
  </si>
  <si>
    <t>District/Metropolitan (Brisbane wide)</t>
  </si>
  <si>
    <t>Land</t>
  </si>
  <si>
    <t>Construction</t>
  </si>
  <si>
    <t>Notes:</t>
  </si>
  <si>
    <t>Refer to the Public parks and land for community facilities network extrinsic material report for details on the valuation of existing assets for the land for community facilities network</t>
  </si>
  <si>
    <t>Total Current Repalcement Cost</t>
  </si>
  <si>
    <t>Land and Construction</t>
  </si>
  <si>
    <t>Contingency Cost ($)</t>
  </si>
  <si>
    <t>Spare Capacity</t>
  </si>
  <si>
    <t>Spare Capacity %</t>
  </si>
  <si>
    <t>Final Terminal value adjustment %</t>
  </si>
  <si>
    <t xml:space="preserve"> Terminal Value Analysis</t>
  </si>
  <si>
    <t>Applicable to project year of provision at 2024</t>
  </si>
  <si>
    <t>Share of the total Cost with the same year of provision %</t>
  </si>
  <si>
    <t>1. Indirect embellishment costs are on costs or overheads applied to the direct embellishment cost, to deliver the project. Indirect embellishment costs equate to 17% of the direct embellishment cost.
2. Project costs are on costs to undertake detailed design, survey, geotechnical investigations, project management, and supervision of construction works and obtain certification from a Registered Professional Engineer of Queensland. Project costs equate to 13% of the direct and indirect embellishment costs.
3. Contingency costs are based on the project delivery date, and applied to the direct construction cost, indirect construction cost and project cost. Contingencies equate to 7.5% for projects with a delivery date up to 2021 and 15% for projects with a delivery date up to 2026.
4. Total embellishment cost is the sum of direct embellishment cost, indirect embellishment cost, project cost and construction contingency cost. 
5. Terminal Value Adjustment is only applicable to items that have an estimated completion date between 2021 and 2026, items value exceeds 20% of the total network value in the same catchment and same year of provision, and items catchment has spare capacity greater than 30%.</t>
  </si>
  <si>
    <t>NPV Total Asset Cost after Terminal Value Adjustment</t>
  </si>
  <si>
    <t>For Summary Cost Calculation</t>
  </si>
  <si>
    <t>Cost Allocation for Service Cost Schedule</t>
  </si>
  <si>
    <t xml:space="preserve"> % of cost which is relevant for Summary Cost Calculation</t>
  </si>
  <si>
    <t>Data References</t>
  </si>
  <si>
    <t>Indirect Embellishment Costs</t>
  </si>
  <si>
    <t>Total Assets Cost (at Base Year)</t>
  </si>
  <si>
    <t>PCF211</t>
  </si>
  <si>
    <r>
      <rPr>
        <sz val="12"/>
        <color theme="1"/>
        <rFont val="Wingdings"/>
        <charset val="2"/>
      </rPr>
      <t>l</t>
    </r>
    <r>
      <rPr>
        <sz val="12"/>
        <color theme="1"/>
        <rFont val="Calibri"/>
        <family val="2"/>
      </rPr>
      <t xml:space="preserve"> Summary of forecast Cap X and anticipated IC revenues</t>
    </r>
    <r>
      <rPr>
        <sz val="11"/>
        <color theme="1"/>
        <rFont val="Calibri"/>
        <family val="2"/>
      </rPr>
      <t>. Refer to Revenue and Cash Flow model for output.</t>
    </r>
  </si>
  <si>
    <t>BCC</t>
  </si>
  <si>
    <t>Version for LGIP Amendment 1a adoption. Effective as at 10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</si>
</sst>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000_-;\-* #,##0.000_-;_-* &quot;-&quot;??_-;_-@_-"/>
    <numFmt numFmtId="167" formatCode="&quot;$&quot;#,##0"/>
    <numFmt numFmtId="168" formatCode="0.0%"/>
    <numFmt numFmtId="169" formatCode="_-#,##0_-;\(#,##0\);_-&quot;-&quot;_-;_-@_-"/>
    <numFmt numFmtId="170" formatCode="&quot;$&quot;#,##0.00"/>
  </numFmts>
  <fonts count="39">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b/>
      <sz val="12"/>
      <color rgb="FFFF0000"/>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b/>
      <u/>
      <sz val="18"/>
      <color rgb="FF000000"/>
      <name val="Calibri"/>
      <family val="2"/>
    </font>
    <font>
      <b/>
      <u/>
      <sz val="11"/>
      <color rgb="FF000000"/>
      <name val="Calibri"/>
      <family val="2"/>
    </font>
    <font>
      <sz val="11"/>
      <color theme="8" tint="0.79998168889431442"/>
      <name val="Century Gothic"/>
      <family val="2"/>
      <scheme val="minor"/>
    </font>
    <font>
      <sz val="8"/>
      <color indexed="12"/>
      <name val="Arial"/>
      <family val="2"/>
    </font>
    <font>
      <u/>
      <sz val="11"/>
      <color theme="1"/>
      <name val="Century Gothic"/>
      <family val="2"/>
      <scheme val="minor"/>
    </font>
    <font>
      <b/>
      <sz val="28"/>
      <color theme="1"/>
      <name val="Century Gothic"/>
      <family val="2"/>
      <scheme val="minor"/>
    </font>
    <font>
      <i/>
      <sz val="10"/>
      <color theme="1"/>
      <name val="Century Gothic"/>
      <family val="2"/>
      <scheme val="minor"/>
    </font>
    <font>
      <sz val="12"/>
      <color theme="1"/>
      <name val="Century Gothic"/>
      <family val="2"/>
      <scheme val="major"/>
    </font>
    <font>
      <sz val="10"/>
      <name val="Arial"/>
      <family val="2"/>
    </font>
    <font>
      <sz val="11"/>
      <color theme="1"/>
      <name val="Calibri"/>
      <family val="2"/>
      <charset val="2"/>
    </font>
    <font>
      <b/>
      <sz val="15"/>
      <color theme="3"/>
      <name val="Century Gothic"/>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theme="4"/>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dotted">
        <color indexed="64"/>
      </left>
      <right style="dotted">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diagonal/>
    </border>
    <border>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style="dotted">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dotted">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bottom/>
      <diagonal/>
    </border>
    <border>
      <left/>
      <right/>
      <top/>
      <bottom style="thick">
        <color theme="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xf numFmtId="169" fontId="31" fillId="15" borderId="80">
      <alignment horizontal="right"/>
      <protection locked="0"/>
    </xf>
    <xf numFmtId="9" fontId="36" fillId="0" borderId="0" applyFont="0" applyFill="0" applyBorder="0" applyAlignment="0" applyProtection="0"/>
    <xf numFmtId="0" fontId="38" fillId="0" borderId="90" applyNumberFormat="0" applyFill="0" applyAlignment="0" applyProtection="0"/>
  </cellStyleXfs>
  <cellXfs count="512">
    <xf numFmtId="0" fontId="0" fillId="0" borderId="0" xfId="0"/>
    <xf numFmtId="0" fontId="0" fillId="2" borderId="0" xfId="0" applyFill="1"/>
    <xf numFmtId="0" fontId="17" fillId="2" borderId="0" xfId="0" applyFont="1" applyFill="1"/>
    <xf numFmtId="0" fontId="3" fillId="4" borderId="14" xfId="0" applyFont="1" applyFill="1" applyBorder="1" applyAlignment="1">
      <alignment horizontal="center" textRotation="90"/>
    </xf>
    <xf numFmtId="0" fontId="3" fillId="4" borderId="21" xfId="0" applyFont="1" applyFill="1" applyBorder="1" applyAlignment="1">
      <alignment horizontal="center" textRotation="90"/>
    </xf>
    <xf numFmtId="0" fontId="5" fillId="4" borderId="14" xfId="0" applyFont="1" applyFill="1" applyBorder="1" applyAlignment="1">
      <alignment horizontal="center"/>
    </xf>
    <xf numFmtId="0" fontId="5" fillId="4" borderId="13" xfId="0" applyFont="1" applyFill="1" applyBorder="1" applyAlignment="1">
      <alignment horizontal="center"/>
    </xf>
    <xf numFmtId="0" fontId="5" fillId="4" borderId="40" xfId="0" applyFont="1" applyFill="1" applyBorder="1" applyAlignment="1">
      <alignment horizontal="center"/>
    </xf>
    <xf numFmtId="0" fontId="5" fillId="4" borderId="41" xfId="0" applyFont="1" applyFill="1" applyBorder="1" applyAlignment="1">
      <alignment horizontal="center"/>
    </xf>
    <xf numFmtId="0" fontId="5" fillId="4" borderId="42" xfId="0" applyFont="1" applyFill="1" applyBorder="1" applyAlignment="1">
      <alignment horizontal="center"/>
    </xf>
    <xf numFmtId="164" fontId="0" fillId="2" borderId="0" xfId="1" applyNumberFormat="1" applyFont="1" applyFill="1"/>
    <xf numFmtId="0" fontId="3" fillId="4" borderId="13" xfId="0" applyFont="1" applyFill="1" applyBorder="1" applyAlignment="1">
      <alignment horizontal="center" wrapText="1"/>
    </xf>
    <xf numFmtId="0" fontId="19" fillId="0" borderId="1" xfId="0" applyFont="1" applyFill="1" applyBorder="1" applyProtection="1">
      <protection locked="0"/>
    </xf>
    <xf numFmtId="0" fontId="0" fillId="2" borderId="0" xfId="0" applyFill="1" applyProtection="1"/>
    <xf numFmtId="0" fontId="3" fillId="4" borderId="14" xfId="0" applyFont="1" applyFill="1" applyBorder="1" applyAlignment="1" applyProtection="1">
      <alignment horizontal="center"/>
    </xf>
    <xf numFmtId="0" fontId="3" fillId="4" borderId="13" xfId="0" applyFont="1" applyFill="1" applyBorder="1" applyAlignment="1" applyProtection="1">
      <alignment horizontal="center"/>
    </xf>
    <xf numFmtId="0" fontId="3" fillId="4" borderId="40" xfId="0" applyFont="1" applyFill="1" applyBorder="1" applyAlignment="1" applyProtection="1">
      <alignment horizontal="center"/>
    </xf>
    <xf numFmtId="0" fontId="3" fillId="4" borderId="41" xfId="0" applyFont="1" applyFill="1" applyBorder="1" applyAlignment="1" applyProtection="1">
      <alignment horizontal="center"/>
    </xf>
    <xf numFmtId="0" fontId="3" fillId="4" borderId="42" xfId="0" applyFont="1" applyFill="1" applyBorder="1" applyAlignment="1" applyProtection="1">
      <alignment horizontal="center"/>
    </xf>
    <xf numFmtId="0" fontId="12" fillId="5" borderId="20" xfId="0" applyNumberFormat="1" applyFont="1" applyFill="1" applyBorder="1" applyAlignment="1">
      <alignment horizontal="center" textRotation="90" wrapText="1"/>
    </xf>
    <xf numFmtId="0" fontId="0" fillId="0" borderId="1" xfId="0" applyFill="1" applyBorder="1"/>
    <xf numFmtId="9" fontId="0" fillId="2" borderId="0" xfId="2" applyFont="1" applyFill="1"/>
    <xf numFmtId="0" fontId="3" fillId="4" borderId="16" xfId="0" applyFont="1" applyFill="1" applyBorder="1" applyAlignment="1">
      <alignment horizontal="center" textRotation="90"/>
    </xf>
    <xf numFmtId="0" fontId="3" fillId="4" borderId="26" xfId="0" applyFont="1" applyFill="1" applyBorder="1" applyAlignment="1">
      <alignment horizontal="center" textRotation="90"/>
    </xf>
    <xf numFmtId="0" fontId="3" fillId="4" borderId="34" xfId="0" applyFont="1" applyFill="1" applyBorder="1" applyAlignment="1" applyProtection="1">
      <alignment horizontal="center" textRotation="90"/>
    </xf>
    <xf numFmtId="10" fontId="0" fillId="2" borderId="0" xfId="0" applyNumberFormat="1" applyFill="1"/>
    <xf numFmtId="0" fontId="0" fillId="12" borderId="0" xfId="0" applyFill="1"/>
    <xf numFmtId="0" fontId="0" fillId="13" borderId="0" xfId="0" applyFill="1"/>
    <xf numFmtId="0" fontId="24" fillId="13" borderId="0" xfId="0" applyFont="1" applyFill="1"/>
    <xf numFmtId="0" fontId="8" fillId="13" borderId="0" xfId="0" applyFont="1" applyFill="1"/>
    <xf numFmtId="0" fontId="8" fillId="13" borderId="1" xfId="0" applyFont="1" applyFill="1" applyBorder="1"/>
    <xf numFmtId="0" fontId="0" fillId="13" borderId="1" xfId="0" applyFill="1" applyBorder="1"/>
    <xf numFmtId="0" fontId="9" fillId="13" borderId="0" xfId="0" applyFont="1" applyFill="1"/>
    <xf numFmtId="0" fontId="16" fillId="13" borderId="6" xfId="0" applyFont="1" applyFill="1" applyBorder="1" applyAlignment="1">
      <alignment horizontal="center" vertical="center" wrapText="1"/>
    </xf>
    <xf numFmtId="0" fontId="0" fillId="13" borderId="0" xfId="0" applyFill="1" applyBorder="1"/>
    <xf numFmtId="0" fontId="14" fillId="13" borderId="0" xfId="0" applyFont="1" applyFill="1" applyBorder="1" applyAlignment="1">
      <alignment vertical="center" wrapText="1"/>
    </xf>
    <xf numFmtId="0" fontId="10" fillId="13" borderId="0" xfId="3" quotePrefix="1" applyFill="1"/>
    <xf numFmtId="0" fontId="0" fillId="0" borderId="0" xfId="0" applyFill="1"/>
    <xf numFmtId="0" fontId="4" fillId="13" borderId="0" xfId="0" applyFont="1" applyFill="1"/>
    <xf numFmtId="165" fontId="0" fillId="13" borderId="51" xfId="4" applyNumberFormat="1" applyFont="1" applyFill="1" applyBorder="1"/>
    <xf numFmtId="165" fontId="0" fillId="13" borderId="53" xfId="4" applyNumberFormat="1" applyFont="1" applyFill="1" applyBorder="1"/>
    <xf numFmtId="165" fontId="0" fillId="13" borderId="38" xfId="4" applyNumberFormat="1" applyFont="1" applyFill="1" applyBorder="1"/>
    <xf numFmtId="164" fontId="0" fillId="13" borderId="13" xfId="1" applyNumberFormat="1" applyFont="1" applyFill="1" applyBorder="1"/>
    <xf numFmtId="165" fontId="0" fillId="13" borderId="13" xfId="4" applyNumberFormat="1" applyFont="1" applyFill="1" applyBorder="1"/>
    <xf numFmtId="164" fontId="0" fillId="13" borderId="59" xfId="1" applyNumberFormat="1" applyFont="1" applyFill="1" applyBorder="1"/>
    <xf numFmtId="164" fontId="0" fillId="13" borderId="60" xfId="1" applyNumberFormat="1" applyFont="1" applyFill="1" applyBorder="1"/>
    <xf numFmtId="164" fontId="0" fillId="13" borderId="44" xfId="1" applyNumberFormat="1" applyFont="1" applyFill="1" applyBorder="1"/>
    <xf numFmtId="164" fontId="0" fillId="13" borderId="61" xfId="1" applyNumberFormat="1" applyFont="1" applyFill="1" applyBorder="1"/>
    <xf numFmtId="164" fontId="0" fillId="13" borderId="43" xfId="1" applyNumberFormat="1" applyFont="1" applyFill="1" applyBorder="1"/>
    <xf numFmtId="164" fontId="0" fillId="13" borderId="45" xfId="1" applyNumberFormat="1" applyFont="1" applyFill="1" applyBorder="1"/>
    <xf numFmtId="0" fontId="0" fillId="12" borderId="0" xfId="0" applyFill="1" applyAlignment="1">
      <alignment horizontal="left"/>
    </xf>
    <xf numFmtId="0" fontId="0" fillId="11" borderId="0" xfId="0" applyFill="1"/>
    <xf numFmtId="0" fontId="0" fillId="11" borderId="0" xfId="0" applyFill="1" applyAlignment="1">
      <alignment horizontal="left"/>
    </xf>
    <xf numFmtId="0" fontId="17" fillId="11" borderId="0" xfId="0" applyFont="1" applyFill="1"/>
    <xf numFmtId="0" fontId="0" fillId="13" borderId="0" xfId="0" applyFont="1" applyFill="1"/>
    <xf numFmtId="0" fontId="32" fillId="13" borderId="0" xfId="3" applyFont="1" applyFill="1" applyProtection="1">
      <protection locked="0"/>
    </xf>
    <xf numFmtId="0" fontId="0" fillId="13" borderId="51" xfId="0" applyFont="1" applyFill="1" applyBorder="1"/>
    <xf numFmtId="0" fontId="0" fillId="13" borderId="53" xfId="0" applyFont="1" applyFill="1" applyBorder="1"/>
    <xf numFmtId="0" fontId="0" fillId="13" borderId="14" xfId="0" applyFont="1" applyFill="1" applyBorder="1"/>
    <xf numFmtId="0" fontId="0" fillId="13" borderId="21" xfId="0" applyFont="1" applyFill="1" applyBorder="1"/>
    <xf numFmtId="0" fontId="0" fillId="13" borderId="15" xfId="0" applyFont="1" applyFill="1" applyBorder="1"/>
    <xf numFmtId="0" fontId="0" fillId="13" borderId="59" xfId="0" applyFont="1" applyFill="1" applyBorder="1"/>
    <xf numFmtId="0" fontId="0" fillId="13" borderId="61" xfId="0" applyFont="1" applyFill="1" applyBorder="1"/>
    <xf numFmtId="0" fontId="0" fillId="11" borderId="55" xfId="0" applyFill="1" applyBorder="1"/>
    <xf numFmtId="9" fontId="12" fillId="5" borderId="20" xfId="2" applyFont="1" applyFill="1" applyBorder="1" applyAlignment="1">
      <alignment horizontal="center" textRotation="90" wrapText="1"/>
    </xf>
    <xf numFmtId="9" fontId="17" fillId="8" borderId="13" xfId="2" applyFont="1" applyFill="1" applyBorder="1" applyAlignment="1">
      <alignment textRotation="90"/>
    </xf>
    <xf numFmtId="9" fontId="0" fillId="11" borderId="0" xfId="2" applyFont="1" applyFill="1"/>
    <xf numFmtId="9" fontId="17" fillId="8" borderId="39" xfId="2" applyFont="1" applyFill="1" applyBorder="1"/>
    <xf numFmtId="9" fontId="17" fillId="8" borderId="52" xfId="2" applyFont="1" applyFill="1" applyBorder="1"/>
    <xf numFmtId="43" fontId="12" fillId="5" borderId="20" xfId="1" applyFont="1" applyFill="1" applyBorder="1" applyAlignment="1">
      <alignment horizontal="center" textRotation="90" wrapText="1"/>
    </xf>
    <xf numFmtId="43" fontId="12" fillId="5" borderId="57" xfId="1" applyFont="1" applyFill="1" applyBorder="1" applyAlignment="1">
      <alignment horizontal="center" textRotation="90" wrapText="1"/>
    </xf>
    <xf numFmtId="43" fontId="0" fillId="11" borderId="0" xfId="1" applyFont="1" applyFill="1"/>
    <xf numFmtId="43" fontId="0" fillId="2" borderId="0" xfId="1" applyFont="1" applyFill="1"/>
    <xf numFmtId="164" fontId="0" fillId="11" borderId="0" xfId="1" applyNumberFormat="1" applyFont="1" applyFill="1"/>
    <xf numFmtId="0" fontId="0" fillId="11" borderId="0" xfId="0" applyFill="1" applyProtection="1"/>
    <xf numFmtId="0" fontId="10" fillId="11" borderId="0" xfId="3" applyFill="1" applyProtection="1">
      <protection locked="0"/>
    </xf>
    <xf numFmtId="164" fontId="0" fillId="11" borderId="0" xfId="0" applyNumberFormat="1" applyFill="1" applyProtection="1"/>
    <xf numFmtId="166" fontId="0" fillId="11" borderId="0" xfId="0" applyNumberFormat="1" applyFill="1" applyProtection="1"/>
    <xf numFmtId="0" fontId="6" fillId="11" borderId="0" xfId="0" applyFont="1" applyFill="1" applyAlignment="1"/>
    <xf numFmtId="0" fontId="4" fillId="11" borderId="0" xfId="0" applyFont="1" applyFill="1" applyProtection="1"/>
    <xf numFmtId="164" fontId="0" fillId="11" borderId="0" xfId="1" applyNumberFormat="1" applyFont="1" applyFill="1" applyProtection="1"/>
    <xf numFmtId="43" fontId="3" fillId="4" borderId="26" xfId="1" applyFont="1" applyFill="1" applyBorder="1" applyAlignment="1" applyProtection="1">
      <alignment horizontal="center" textRotation="90"/>
    </xf>
    <xf numFmtId="43" fontId="3" fillId="4" borderId="14" xfId="1" applyFont="1" applyFill="1" applyBorder="1" applyAlignment="1">
      <alignment horizontal="center" textRotation="90"/>
    </xf>
    <xf numFmtId="0" fontId="0" fillId="11" borderId="0" xfId="0" applyFont="1" applyFill="1"/>
    <xf numFmtId="0" fontId="0" fillId="11" borderId="1" xfId="0" applyFont="1" applyFill="1" applyBorder="1"/>
    <xf numFmtId="165" fontId="0" fillId="2" borderId="0" xfId="4" applyNumberFormat="1" applyFont="1" applyFill="1"/>
    <xf numFmtId="165" fontId="0" fillId="11" borderId="0" xfId="4" applyNumberFormat="1" applyFont="1" applyFill="1"/>
    <xf numFmtId="0" fontId="0" fillId="2" borderId="0" xfId="0" applyFont="1" applyFill="1"/>
    <xf numFmtId="165" fontId="0" fillId="6" borderId="28" xfId="4" applyNumberFormat="1" applyFont="1" applyFill="1" applyBorder="1" applyProtection="1">
      <protection locked="0"/>
    </xf>
    <xf numFmtId="0" fontId="0" fillId="6" borderId="28" xfId="0" applyFill="1" applyBorder="1" applyProtection="1">
      <protection locked="0"/>
    </xf>
    <xf numFmtId="168" fontId="0" fillId="6" borderId="28" xfId="4" applyNumberFormat="1" applyFont="1" applyFill="1" applyBorder="1" applyProtection="1">
      <protection locked="0"/>
    </xf>
    <xf numFmtId="10" fontId="0" fillId="2" borderId="0" xfId="2" applyNumberFormat="1" applyFont="1" applyFill="1"/>
    <xf numFmtId="10" fontId="0" fillId="11" borderId="0" xfId="2" applyNumberFormat="1" applyFont="1" applyFill="1"/>
    <xf numFmtId="9" fontId="17" fillId="6" borderId="43" xfId="2" applyFont="1" applyFill="1" applyBorder="1"/>
    <xf numFmtId="9" fontId="17" fillId="6" borderId="63" xfId="2" applyFont="1" applyFill="1" applyBorder="1"/>
    <xf numFmtId="9" fontId="17" fillId="6" borderId="39" xfId="2" applyFont="1" applyFill="1" applyBorder="1"/>
    <xf numFmtId="9" fontId="17" fillId="6" borderId="44" xfId="2" applyFont="1" applyFill="1" applyBorder="1"/>
    <xf numFmtId="9" fontId="17" fillId="6" borderId="52" xfId="2" applyFont="1" applyFill="1" applyBorder="1"/>
    <xf numFmtId="3" fontId="17" fillId="6" borderId="52" xfId="0" applyNumberFormat="1" applyFont="1" applyFill="1" applyBorder="1"/>
    <xf numFmtId="3" fontId="17" fillId="6" borderId="33" xfId="0" applyNumberFormat="1" applyFont="1" applyFill="1" applyBorder="1"/>
    <xf numFmtId="3" fontId="17" fillId="6" borderId="39" xfId="0" applyNumberFormat="1" applyFont="1" applyFill="1" applyBorder="1"/>
    <xf numFmtId="164" fontId="0" fillId="6" borderId="68" xfId="1" applyNumberFormat="1" applyFont="1" applyFill="1" applyBorder="1" applyProtection="1">
      <protection locked="0"/>
    </xf>
    <xf numFmtId="168" fontId="0" fillId="6" borderId="68" xfId="4" applyNumberFormat="1" applyFont="1" applyFill="1" applyBorder="1" applyProtection="1">
      <protection locked="0"/>
    </xf>
    <xf numFmtId="165" fontId="0" fillId="6" borderId="68" xfId="4" applyNumberFormat="1" applyFont="1" applyFill="1" applyBorder="1" applyProtection="1">
      <protection locked="0"/>
    </xf>
    <xf numFmtId="165" fontId="0" fillId="6" borderId="64" xfId="4" applyNumberFormat="1" applyFont="1" applyFill="1" applyBorder="1" applyProtection="1">
      <protection locked="0"/>
    </xf>
    <xf numFmtId="165" fontId="0" fillId="6" borderId="35" xfId="4" applyNumberFormat="1" applyFont="1" applyFill="1" applyBorder="1" applyProtection="1">
      <protection locked="0"/>
    </xf>
    <xf numFmtId="165" fontId="0" fillId="13" borderId="59" xfId="4" applyNumberFormat="1" applyFont="1" applyFill="1" applyBorder="1"/>
    <xf numFmtId="165" fontId="0" fillId="13" borderId="61" xfId="4" applyNumberFormat="1" applyFont="1" applyFill="1" applyBorder="1"/>
    <xf numFmtId="165" fontId="0" fillId="13" borderId="39" xfId="4" applyNumberFormat="1" applyFont="1" applyFill="1" applyBorder="1"/>
    <xf numFmtId="0" fontId="4" fillId="16" borderId="14" xfId="0" applyFont="1" applyFill="1" applyBorder="1"/>
    <xf numFmtId="0" fontId="4" fillId="16" borderId="21" xfId="0" applyFont="1" applyFill="1" applyBorder="1"/>
    <xf numFmtId="165" fontId="4" fillId="16" borderId="21" xfId="4" applyNumberFormat="1" applyFont="1" applyFill="1" applyBorder="1"/>
    <xf numFmtId="10" fontId="4" fillId="16" borderId="21" xfId="2" applyNumberFormat="1" applyFont="1" applyFill="1" applyBorder="1"/>
    <xf numFmtId="9" fontId="4" fillId="16" borderId="14" xfId="2" applyFont="1" applyFill="1" applyBorder="1"/>
    <xf numFmtId="9" fontId="4" fillId="16" borderId="21" xfId="2" applyFont="1" applyFill="1" applyBorder="1"/>
    <xf numFmtId="9" fontId="0" fillId="16" borderId="15" xfId="2" applyFont="1" applyFill="1" applyBorder="1"/>
    <xf numFmtId="0" fontId="4" fillId="16" borderId="13" xfId="0" applyFont="1" applyFill="1" applyBorder="1"/>
    <xf numFmtId="0" fontId="17" fillId="16" borderId="16" xfId="0" applyFont="1" applyFill="1" applyBorder="1" applyAlignment="1">
      <alignment horizontal="center" wrapText="1"/>
    </xf>
    <xf numFmtId="0" fontId="17" fillId="16" borderId="26" xfId="0" applyFont="1" applyFill="1" applyBorder="1" applyAlignment="1">
      <alignment horizontal="center" wrapText="1"/>
    </xf>
    <xf numFmtId="0" fontId="17" fillId="16" borderId="34" xfId="0" applyFont="1" applyFill="1" applyBorder="1" applyAlignment="1" applyProtection="1">
      <alignment horizontal="center" wrapText="1"/>
    </xf>
    <xf numFmtId="0" fontId="17" fillId="16" borderId="13" xfId="0" applyFont="1" applyFill="1" applyBorder="1" applyAlignment="1">
      <alignment horizontal="center" wrapText="1"/>
    </xf>
    <xf numFmtId="0" fontId="17" fillId="16" borderId="37" xfId="0" applyFont="1" applyFill="1" applyBorder="1" applyAlignment="1">
      <alignment horizontal="center" wrapText="1"/>
    </xf>
    <xf numFmtId="0" fontId="17" fillId="16" borderId="34" xfId="0" applyFont="1" applyFill="1" applyBorder="1" applyAlignment="1">
      <alignment horizontal="center" wrapText="1"/>
    </xf>
    <xf numFmtId="165" fontId="17" fillId="16" borderId="34" xfId="4" applyNumberFormat="1" applyFont="1" applyFill="1" applyBorder="1" applyAlignment="1">
      <alignment horizontal="center" wrapText="1"/>
    </xf>
    <xf numFmtId="0" fontId="17" fillId="16" borderId="58" xfId="0" applyFont="1" applyFill="1" applyBorder="1" applyAlignment="1">
      <alignment horizontal="center" wrapText="1"/>
    </xf>
    <xf numFmtId="10" fontId="17" fillId="16" borderId="26" xfId="2" applyNumberFormat="1" applyFont="1" applyFill="1" applyBorder="1" applyAlignment="1">
      <alignment horizontal="center" wrapText="1"/>
    </xf>
    <xf numFmtId="3" fontId="17" fillId="16" borderId="16" xfId="0" applyNumberFormat="1" applyFont="1" applyFill="1" applyBorder="1" applyAlignment="1">
      <alignment textRotation="90"/>
    </xf>
    <xf numFmtId="3" fontId="17" fillId="16" borderId="26" xfId="0" applyNumberFormat="1" applyFont="1" applyFill="1" applyBorder="1" applyAlignment="1">
      <alignment textRotation="90"/>
    </xf>
    <xf numFmtId="3" fontId="17" fillId="16" borderId="58" xfId="0" applyNumberFormat="1" applyFont="1" applyFill="1" applyBorder="1" applyAlignment="1">
      <alignment textRotation="90"/>
    </xf>
    <xf numFmtId="9" fontId="17" fillId="16" borderId="13" xfId="2" applyFont="1" applyFill="1" applyBorder="1" applyAlignment="1">
      <alignment textRotation="90"/>
    </xf>
    <xf numFmtId="3" fontId="17" fillId="16" borderId="13" xfId="0" applyNumberFormat="1" applyFont="1" applyFill="1" applyBorder="1" applyAlignment="1">
      <alignment textRotation="90"/>
    </xf>
    <xf numFmtId="164" fontId="4" fillId="16" borderId="21" xfId="1" applyNumberFormat="1" applyFont="1" applyFill="1" applyBorder="1"/>
    <xf numFmtId="164" fontId="17" fillId="16" borderId="26" xfId="1" applyNumberFormat="1" applyFont="1" applyFill="1" applyBorder="1" applyAlignment="1" applyProtection="1">
      <alignment horizontal="center" wrapText="1"/>
    </xf>
    <xf numFmtId="2" fontId="0" fillId="11" borderId="0" xfId="0" applyNumberFormat="1" applyFill="1"/>
    <xf numFmtId="2" fontId="4" fillId="16" borderId="21" xfId="0" applyNumberFormat="1" applyFont="1" applyFill="1" applyBorder="1"/>
    <xf numFmtId="167" fontId="0" fillId="6" borderId="38" xfId="0" applyNumberFormat="1" applyFill="1" applyBorder="1" applyProtection="1">
      <protection locked="0"/>
    </xf>
    <xf numFmtId="0" fontId="4" fillId="16" borderId="72" xfId="0" applyFont="1" applyFill="1" applyBorder="1" applyAlignment="1">
      <alignment horizontal="center" textRotation="90"/>
    </xf>
    <xf numFmtId="0" fontId="4" fillId="16" borderId="54" xfId="0" applyFont="1" applyFill="1" applyBorder="1" applyAlignment="1">
      <alignment horizontal="center" textRotation="90"/>
    </xf>
    <xf numFmtId="164" fontId="4" fillId="16" borderId="77" xfId="1" applyNumberFormat="1" applyFont="1" applyFill="1" applyBorder="1" applyAlignment="1" applyProtection="1">
      <alignment horizontal="center" textRotation="90"/>
    </xf>
    <xf numFmtId="0" fontId="4" fillId="16" borderId="82" xfId="0" applyFont="1" applyFill="1" applyBorder="1" applyAlignment="1" applyProtection="1">
      <alignment horizontal="center" textRotation="90"/>
    </xf>
    <xf numFmtId="0" fontId="4" fillId="16" borderId="20" xfId="0" applyFont="1" applyFill="1" applyBorder="1" applyAlignment="1">
      <alignment horizontal="center" textRotation="90" wrapText="1"/>
    </xf>
    <xf numFmtId="0" fontId="4" fillId="16" borderId="54" xfId="0" applyFont="1" applyFill="1" applyBorder="1" applyAlignment="1">
      <alignment horizontal="center" textRotation="90" wrapText="1"/>
    </xf>
    <xf numFmtId="0" fontId="4" fillId="16" borderId="78" xfId="0" applyFont="1" applyFill="1" applyBorder="1" applyAlignment="1">
      <alignment horizontal="center" textRotation="90" wrapText="1"/>
    </xf>
    <xf numFmtId="10" fontId="4" fillId="16" borderId="54" xfId="2" applyNumberFormat="1" applyFont="1" applyFill="1" applyBorder="1" applyAlignment="1">
      <alignment horizontal="center" textRotation="90"/>
    </xf>
    <xf numFmtId="165" fontId="4" fillId="16" borderId="54" xfId="4" applyNumberFormat="1" applyFont="1" applyFill="1" applyBorder="1" applyAlignment="1">
      <alignment horizontal="center" textRotation="90" wrapText="1"/>
    </xf>
    <xf numFmtId="165" fontId="0" fillId="6" borderId="84" xfId="4" applyNumberFormat="1" applyFont="1" applyFill="1" applyBorder="1" applyProtection="1">
      <protection locked="0"/>
    </xf>
    <xf numFmtId="165" fontId="0" fillId="0" borderId="67" xfId="4" applyNumberFormat="1" applyFont="1" applyFill="1" applyBorder="1" applyProtection="1">
      <protection locked="0"/>
    </xf>
    <xf numFmtId="165" fontId="0" fillId="0" borderId="23" xfId="4" applyNumberFormat="1" applyFont="1" applyFill="1" applyBorder="1" applyProtection="1">
      <protection locked="0"/>
    </xf>
    <xf numFmtId="165" fontId="0" fillId="0" borderId="85" xfId="4" applyNumberFormat="1" applyFont="1" applyFill="1" applyBorder="1" applyProtection="1">
      <protection locked="0"/>
    </xf>
    <xf numFmtId="0" fontId="0" fillId="0" borderId="32" xfId="0" applyFill="1" applyBorder="1" applyProtection="1">
      <protection locked="0"/>
    </xf>
    <xf numFmtId="0" fontId="0" fillId="0" borderId="28" xfId="0" applyFill="1" applyBorder="1" applyProtection="1">
      <protection locked="0"/>
    </xf>
    <xf numFmtId="0" fontId="0" fillId="0" borderId="84" xfId="0" applyFill="1" applyBorder="1" applyProtection="1">
      <protection locked="0"/>
    </xf>
    <xf numFmtId="0" fontId="0" fillId="0" borderId="22" xfId="0" applyFill="1" applyBorder="1" applyProtection="1">
      <protection locked="0"/>
    </xf>
    <xf numFmtId="164" fontId="0" fillId="0" borderId="32" xfId="1" applyNumberFormat="1" applyFont="1" applyFill="1" applyBorder="1" applyProtection="1">
      <protection locked="0"/>
    </xf>
    <xf numFmtId="0" fontId="0" fillId="0" borderId="23" xfId="0" applyFill="1" applyBorder="1" applyProtection="1">
      <protection locked="0"/>
    </xf>
    <xf numFmtId="164" fontId="0" fillId="0" borderId="28" xfId="1" applyNumberFormat="1" applyFont="1" applyFill="1" applyBorder="1" applyProtection="1">
      <protection locked="0"/>
    </xf>
    <xf numFmtId="164" fontId="0" fillId="0" borderId="68" xfId="1" applyNumberFormat="1" applyFont="1" applyFill="1" applyBorder="1" applyProtection="1">
      <protection locked="0"/>
    </xf>
    <xf numFmtId="0" fontId="0" fillId="0" borderId="74" xfId="0" applyFill="1" applyBorder="1" applyProtection="1">
      <protection locked="0"/>
    </xf>
    <xf numFmtId="164" fontId="0" fillId="0" borderId="84" xfId="1" applyNumberFormat="1" applyFont="1" applyFill="1" applyBorder="1" applyProtection="1">
      <protection locked="0"/>
    </xf>
    <xf numFmtId="165" fontId="0" fillId="0" borderId="27" xfId="4" applyNumberFormat="1" applyFont="1" applyFill="1" applyBorder="1" applyProtection="1">
      <protection locked="0"/>
    </xf>
    <xf numFmtId="165" fontId="0" fillId="0" borderId="29" xfId="4" applyNumberFormat="1" applyFont="1" applyFill="1" applyBorder="1" applyProtection="1">
      <protection locked="0"/>
    </xf>
    <xf numFmtId="0" fontId="0" fillId="0" borderId="68" xfId="0" applyFill="1" applyBorder="1" applyProtection="1">
      <protection locked="0"/>
    </xf>
    <xf numFmtId="9" fontId="0" fillId="0" borderId="68" xfId="2" applyFont="1" applyFill="1" applyBorder="1" applyProtection="1">
      <protection locked="0"/>
    </xf>
    <xf numFmtId="9" fontId="0" fillId="0" borderId="23" xfId="2" applyFont="1" applyFill="1" applyBorder="1" applyProtection="1">
      <protection locked="0"/>
    </xf>
    <xf numFmtId="0" fontId="0" fillId="0" borderId="69" xfId="0" applyFill="1" applyBorder="1" applyProtection="1">
      <protection locked="0"/>
    </xf>
    <xf numFmtId="10" fontId="0" fillId="0" borderId="28" xfId="2" applyNumberFormat="1" applyFont="1" applyFill="1" applyBorder="1" applyProtection="1">
      <protection locked="0"/>
    </xf>
    <xf numFmtId="0" fontId="0" fillId="0" borderId="66" xfId="0" applyFill="1" applyBorder="1" applyProtection="1">
      <protection locked="0"/>
    </xf>
    <xf numFmtId="0" fontId="0" fillId="0" borderId="83" xfId="0" applyFill="1" applyBorder="1" applyProtection="1">
      <protection locked="0"/>
    </xf>
    <xf numFmtId="10" fontId="0" fillId="0" borderId="84" xfId="2" applyNumberFormat="1" applyFont="1" applyFill="1" applyBorder="1" applyProtection="1">
      <protection locked="0"/>
    </xf>
    <xf numFmtId="0" fontId="0" fillId="6" borderId="35" xfId="0" applyFill="1" applyBorder="1" applyProtection="1">
      <protection locked="0"/>
    </xf>
    <xf numFmtId="0" fontId="0" fillId="6" borderId="30" xfId="0" applyFill="1" applyBorder="1" applyProtection="1">
      <protection locked="0"/>
    </xf>
    <xf numFmtId="0" fontId="0" fillId="0" borderId="81" xfId="0" applyFill="1" applyBorder="1" applyProtection="1">
      <protection locked="0"/>
    </xf>
    <xf numFmtId="0" fontId="3" fillId="4" borderId="72" xfId="0" applyFont="1" applyFill="1" applyBorder="1" applyAlignment="1">
      <alignment horizontal="center" textRotation="90"/>
    </xf>
    <xf numFmtId="0" fontId="3" fillId="4" borderId="54" xfId="0" applyFont="1" applyFill="1" applyBorder="1" applyAlignment="1">
      <alignment horizontal="center" textRotation="90"/>
    </xf>
    <xf numFmtId="43" fontId="3" fillId="4" borderId="54" xfId="1" applyFont="1" applyFill="1" applyBorder="1" applyAlignment="1">
      <alignment horizontal="center" textRotation="90"/>
    </xf>
    <xf numFmtId="0" fontId="3" fillId="4" borderId="76" xfId="0" applyFont="1" applyFill="1" applyBorder="1" applyAlignment="1">
      <alignment horizontal="center" textRotation="90"/>
    </xf>
    <xf numFmtId="0" fontId="3" fillId="4" borderId="77" xfId="0" applyFont="1" applyFill="1" applyBorder="1" applyAlignment="1">
      <alignment horizontal="center" textRotation="90"/>
    </xf>
    <xf numFmtId="0" fontId="3" fillId="4" borderId="54" xfId="0" applyFont="1" applyFill="1" applyBorder="1" applyAlignment="1">
      <alignment horizontal="center" textRotation="90" wrapText="1"/>
    </xf>
    <xf numFmtId="43" fontId="3" fillId="4" borderId="77" xfId="1" applyFont="1" applyFill="1" applyBorder="1" applyAlignment="1" applyProtection="1">
      <alignment horizontal="center" textRotation="90"/>
    </xf>
    <xf numFmtId="0" fontId="3" fillId="4" borderId="82" xfId="0" applyFont="1" applyFill="1" applyBorder="1" applyAlignment="1" applyProtection="1">
      <alignment horizontal="center" textRotation="90"/>
    </xf>
    <xf numFmtId="0" fontId="17" fillId="0" borderId="37" xfId="0" applyFont="1" applyFill="1" applyBorder="1" applyAlignment="1">
      <alignment horizontal="center" wrapText="1"/>
    </xf>
    <xf numFmtId="0" fontId="17" fillId="0" borderId="26" xfId="0" applyFont="1" applyFill="1" applyBorder="1" applyAlignment="1">
      <alignment horizontal="center" wrapText="1"/>
    </xf>
    <xf numFmtId="0" fontId="17" fillId="0" borderId="16" xfId="0" applyFont="1" applyFill="1" applyBorder="1" applyAlignment="1">
      <alignment horizontal="center" wrapText="1"/>
    </xf>
    <xf numFmtId="43" fontId="17" fillId="0" borderId="26" xfId="1" applyFont="1" applyFill="1" applyBorder="1" applyAlignment="1">
      <alignment horizontal="center" wrapText="1"/>
    </xf>
    <xf numFmtId="43" fontId="17" fillId="0" borderId="26" xfId="1" applyFont="1" applyFill="1" applyBorder="1" applyAlignment="1" applyProtection="1">
      <alignment horizontal="center" wrapText="1"/>
    </xf>
    <xf numFmtId="0" fontId="17" fillId="0" borderId="34" xfId="0" applyFont="1" applyFill="1" applyBorder="1" applyAlignment="1" applyProtection="1">
      <alignment horizontal="center" wrapText="1"/>
    </xf>
    <xf numFmtId="165" fontId="0" fillId="0" borderId="35" xfId="4" applyNumberFormat="1" applyFont="1" applyFill="1" applyBorder="1" applyProtection="1">
      <protection locked="0"/>
    </xf>
    <xf numFmtId="43" fontId="17" fillId="8" borderId="13" xfId="1" applyFont="1" applyFill="1" applyBorder="1" applyAlignment="1">
      <alignment wrapText="1"/>
    </xf>
    <xf numFmtId="3" fontId="17" fillId="8" borderId="13" xfId="0" applyNumberFormat="1" applyFont="1" applyFill="1" applyBorder="1" applyAlignment="1"/>
    <xf numFmtId="165" fontId="0" fillId="0" borderId="35" xfId="4" applyNumberFormat="1" applyFont="1" applyFill="1" applyBorder="1" applyProtection="1"/>
    <xf numFmtId="0" fontId="12" fillId="6" borderId="76" xfId="0" applyNumberFormat="1" applyFont="1" applyFill="1" applyBorder="1" applyAlignment="1">
      <alignment horizontal="center" textRotation="90" wrapText="1"/>
    </xf>
    <xf numFmtId="0" fontId="12" fillId="6" borderId="77" xfId="0" applyNumberFormat="1" applyFont="1" applyFill="1" applyBorder="1" applyAlignment="1">
      <alignment horizontal="center" textRotation="90" wrapText="1"/>
    </xf>
    <xf numFmtId="3" fontId="17" fillId="6" borderId="40" xfId="0" applyNumberFormat="1" applyFont="1" applyFill="1" applyBorder="1" applyAlignment="1">
      <alignment textRotation="90"/>
    </xf>
    <xf numFmtId="3" fontId="17" fillId="6" borderId="41" xfId="0" applyNumberFormat="1" applyFont="1" applyFill="1" applyBorder="1" applyAlignment="1">
      <alignment textRotation="90"/>
    </xf>
    <xf numFmtId="164" fontId="2" fillId="0" borderId="23" xfId="1" applyNumberFormat="1" applyFont="1" applyFill="1" applyBorder="1" applyAlignment="1" applyProtection="1">
      <alignment horizontal="center"/>
      <protection locked="0"/>
    </xf>
    <xf numFmtId="164" fontId="0" fillId="0" borderId="23" xfId="2" applyNumberFormat="1" applyFont="1" applyFill="1" applyBorder="1" applyProtection="1">
      <protection locked="0"/>
    </xf>
    <xf numFmtId="164" fontId="2" fillId="0" borderId="43" xfId="1" applyNumberFormat="1" applyFont="1" applyFill="1" applyBorder="1" applyProtection="1">
      <protection locked="0"/>
    </xf>
    <xf numFmtId="164" fontId="2" fillId="0" borderId="44" xfId="1" applyNumberFormat="1" applyFont="1" applyFill="1" applyBorder="1" applyProtection="1">
      <protection locked="0"/>
    </xf>
    <xf numFmtId="164" fontId="2" fillId="0" borderId="49" xfId="1" applyNumberFormat="1" applyFont="1" applyFill="1" applyBorder="1" applyProtection="1">
      <protection locked="0"/>
    </xf>
    <xf numFmtId="164" fontId="2" fillId="0" borderId="45" xfId="1" applyNumberFormat="1" applyFont="1" applyFill="1" applyBorder="1" applyProtection="1">
      <protection locked="0"/>
    </xf>
    <xf numFmtId="164" fontId="2" fillId="0" borderId="23" xfId="2" applyNumberFormat="1" applyFont="1" applyFill="1" applyBorder="1" applyProtection="1">
      <protection locked="0"/>
    </xf>
    <xf numFmtId="164" fontId="2" fillId="0" borderId="24" xfId="1" applyNumberFormat="1" applyFont="1" applyFill="1" applyBorder="1" applyAlignment="1" applyProtection="1">
      <alignment horizontal="center"/>
      <protection locked="0"/>
    </xf>
    <xf numFmtId="164" fontId="2" fillId="0" borderId="24" xfId="2" applyNumberFormat="1" applyFont="1" applyFill="1" applyBorder="1" applyProtection="1">
      <protection locked="0"/>
    </xf>
    <xf numFmtId="164" fontId="2" fillId="0" borderId="46" xfId="1" applyNumberFormat="1" applyFont="1" applyFill="1" applyBorder="1" applyProtection="1">
      <protection locked="0"/>
    </xf>
    <xf numFmtId="164" fontId="2" fillId="0" borderId="47" xfId="1" applyNumberFormat="1" applyFont="1" applyFill="1" applyBorder="1" applyProtection="1">
      <protection locked="0"/>
    </xf>
    <xf numFmtId="164" fontId="2" fillId="0" borderId="50" xfId="1" applyNumberFormat="1" applyFont="1" applyFill="1" applyBorder="1" applyProtection="1">
      <protection locked="0"/>
    </xf>
    <xf numFmtId="164" fontId="2" fillId="0" borderId="48" xfId="1" applyNumberFormat="1" applyFont="1" applyFill="1" applyBorder="1" applyProtection="1">
      <protection locked="0"/>
    </xf>
    <xf numFmtId="164" fontId="2" fillId="0" borderId="20" xfId="1" applyNumberFormat="1" applyFont="1" applyFill="1" applyBorder="1" applyAlignment="1" applyProtection="1">
      <alignment horizontal="center"/>
    </xf>
    <xf numFmtId="164" fontId="0" fillId="6" borderId="38" xfId="1" applyNumberFormat="1" applyFont="1" applyFill="1" applyBorder="1" applyAlignment="1">
      <alignment vertical="center"/>
    </xf>
    <xf numFmtId="164" fontId="0" fillId="6" borderId="33" xfId="1" applyNumberFormat="1" applyFont="1" applyFill="1" applyBorder="1" applyAlignment="1">
      <alignment vertical="center"/>
    </xf>
    <xf numFmtId="164" fontId="2" fillId="6" borderId="20" xfId="1" applyNumberFormat="1" applyFont="1" applyFill="1" applyBorder="1" applyAlignment="1" applyProtection="1">
      <alignment horizontal="center"/>
    </xf>
    <xf numFmtId="164" fontId="0" fillId="0" borderId="38" xfId="1" applyNumberFormat="1" applyFont="1" applyFill="1" applyBorder="1" applyProtection="1">
      <protection locked="0"/>
    </xf>
    <xf numFmtId="164" fontId="0" fillId="0" borderId="33" xfId="1" applyNumberFormat="1" applyFont="1" applyFill="1" applyBorder="1" applyProtection="1">
      <protection locked="0"/>
    </xf>
    <xf numFmtId="164" fontId="17" fillId="6" borderId="39" xfId="0" applyNumberFormat="1" applyFont="1" applyFill="1" applyBorder="1" applyAlignment="1">
      <alignment horizontal="center" wrapText="1"/>
    </xf>
    <xf numFmtId="164" fontId="17" fillId="6" borderId="38" xfId="0" applyNumberFormat="1" applyFont="1" applyFill="1" applyBorder="1" applyAlignment="1">
      <alignment horizontal="center" wrapText="1"/>
    </xf>
    <xf numFmtId="164" fontId="2" fillId="0" borderId="59" xfId="2" applyNumberFormat="1" applyFont="1" applyFill="1" applyBorder="1" applyProtection="1">
      <protection locked="0"/>
    </xf>
    <xf numFmtId="164" fontId="2" fillId="0" borderId="60" xfId="2" applyNumberFormat="1" applyFont="1" applyFill="1" applyBorder="1" applyProtection="1">
      <protection locked="0"/>
    </xf>
    <xf numFmtId="164" fontId="2" fillId="0" borderId="44" xfId="2" applyNumberFormat="1" applyFont="1" applyFill="1" applyBorder="1" applyProtection="1">
      <protection locked="0"/>
    </xf>
    <xf numFmtId="164" fontId="2" fillId="0" borderId="61" xfId="2" applyNumberFormat="1" applyFont="1" applyFill="1" applyBorder="1" applyProtection="1">
      <protection locked="0"/>
    </xf>
    <xf numFmtId="164" fontId="2" fillId="0" borderId="43" xfId="2" applyNumberFormat="1" applyFont="1" applyFill="1" applyBorder="1" applyProtection="1">
      <protection locked="0"/>
    </xf>
    <xf numFmtId="164" fontId="2" fillId="0" borderId="45" xfId="2" applyNumberFormat="1" applyFont="1" applyFill="1" applyBorder="1" applyProtection="1">
      <protection locked="0"/>
    </xf>
    <xf numFmtId="0" fontId="10" fillId="0" borderId="0" xfId="3" applyFill="1" applyProtection="1">
      <protection locked="0"/>
    </xf>
    <xf numFmtId="0" fontId="18" fillId="0" borderId="0" xfId="0" applyFont="1" applyFill="1" applyAlignment="1">
      <alignment horizontal="center"/>
    </xf>
    <xf numFmtId="0" fontId="4" fillId="0" borderId="13" xfId="0" applyFont="1" applyFill="1" applyBorder="1" applyAlignment="1">
      <alignment horizontal="center"/>
    </xf>
    <xf numFmtId="0" fontId="0" fillId="0" borderId="13" xfId="0" applyFill="1" applyBorder="1" applyProtection="1">
      <protection locked="0"/>
    </xf>
    <xf numFmtId="0" fontId="30" fillId="0" borderId="0" xfId="0" applyFont="1" applyFill="1"/>
    <xf numFmtId="0" fontId="19" fillId="0" borderId="0" xfId="0" applyFont="1" applyFill="1"/>
    <xf numFmtId="0" fontId="4" fillId="0" borderId="0" xfId="0" applyFont="1" applyFill="1"/>
    <xf numFmtId="0" fontId="0" fillId="0" borderId="0" xfId="0" applyFill="1" applyBorder="1"/>
    <xf numFmtId="10" fontId="0" fillId="0" borderId="13" xfId="2" applyNumberFormat="1" applyFont="1" applyFill="1" applyBorder="1" applyProtection="1">
      <protection locked="0"/>
    </xf>
    <xf numFmtId="0" fontId="0" fillId="0" borderId="6" xfId="0" applyFill="1" applyBorder="1"/>
    <xf numFmtId="0" fontId="0" fillId="0" borderId="8" xfId="0" applyFill="1" applyBorder="1"/>
    <xf numFmtId="10" fontId="0" fillId="0" borderId="9" xfId="2" applyNumberFormat="1" applyFont="1" applyFill="1" applyBorder="1"/>
    <xf numFmtId="0" fontId="0" fillId="0" borderId="10" xfId="0" applyFill="1" applyBorder="1"/>
    <xf numFmtId="0" fontId="0" fillId="0" borderId="11" xfId="0" applyFill="1" applyBorder="1"/>
    <xf numFmtId="10" fontId="0" fillId="0" borderId="13" xfId="2" applyNumberFormat="1" applyFont="1" applyFill="1" applyBorder="1"/>
    <xf numFmtId="0" fontId="0" fillId="0" borderId="4" xfId="0" applyFill="1" applyBorder="1"/>
    <xf numFmtId="10" fontId="0" fillId="0" borderId="16" xfId="2" applyNumberFormat="1" applyFont="1" applyFill="1" applyBorder="1" applyProtection="1">
      <protection locked="0"/>
    </xf>
    <xf numFmtId="0" fontId="0" fillId="0" borderId="0" xfId="0" applyFill="1" applyAlignment="1">
      <alignment vertical="center" textRotation="90"/>
    </xf>
    <xf numFmtId="0" fontId="20" fillId="0" borderId="1" xfId="0" applyFont="1" applyFill="1" applyBorder="1"/>
    <xf numFmtId="0" fontId="0" fillId="0" borderId="1" xfId="0" applyFill="1" applyBorder="1" applyAlignment="1">
      <alignment horizontal="center"/>
    </xf>
    <xf numFmtId="43" fontId="0" fillId="0" borderId="13" xfId="1" applyFont="1" applyFill="1" applyBorder="1" applyProtection="1">
      <protection locked="0"/>
    </xf>
    <xf numFmtId="170" fontId="17" fillId="8" borderId="44" xfId="1" applyNumberFormat="1" applyFont="1" applyFill="1" applyBorder="1"/>
    <xf numFmtId="0" fontId="4" fillId="16" borderId="76" xfId="0" applyFont="1" applyFill="1" applyBorder="1" applyAlignment="1">
      <alignment horizontal="center" textRotation="90" wrapText="1"/>
    </xf>
    <xf numFmtId="10" fontId="17" fillId="16" borderId="34" xfId="2" applyNumberFormat="1" applyFont="1" applyFill="1" applyBorder="1" applyAlignment="1">
      <alignment horizontal="center" wrapText="1"/>
    </xf>
    <xf numFmtId="9" fontId="0" fillId="0" borderId="8" xfId="2" applyNumberFormat="1" applyFont="1" applyFill="1" applyBorder="1" applyProtection="1">
      <protection locked="0"/>
    </xf>
    <xf numFmtId="10" fontId="4" fillId="16" borderId="54" xfId="2" applyNumberFormat="1" applyFont="1" applyFill="1" applyBorder="1" applyAlignment="1">
      <alignment horizontal="center" textRotation="90" wrapText="1"/>
    </xf>
    <xf numFmtId="0" fontId="4" fillId="16" borderId="77" xfId="0" applyFont="1" applyFill="1" applyBorder="1" applyAlignment="1">
      <alignment horizontal="center" textRotation="90" wrapText="1"/>
    </xf>
    <xf numFmtId="165" fontId="4" fillId="16" borderId="78" xfId="4" applyNumberFormat="1" applyFont="1" applyFill="1" applyBorder="1" applyAlignment="1">
      <alignment horizontal="center" textRotation="90" wrapText="1"/>
    </xf>
    <xf numFmtId="9" fontId="0" fillId="11" borderId="0" xfId="0" applyNumberFormat="1" applyFill="1"/>
    <xf numFmtId="9" fontId="19" fillId="16" borderId="13" xfId="2" applyFont="1" applyFill="1" applyBorder="1" applyAlignment="1">
      <alignment textRotation="90"/>
    </xf>
    <xf numFmtId="3" fontId="19" fillId="16" borderId="13" xfId="0" applyNumberFormat="1" applyFont="1" applyFill="1" applyBorder="1" applyAlignment="1">
      <alignment textRotation="90"/>
    </xf>
    <xf numFmtId="165" fontId="0" fillId="6" borderId="86" xfId="4" applyNumberFormat="1" applyFont="1" applyFill="1" applyBorder="1" applyProtection="1">
      <protection locked="0"/>
    </xf>
    <xf numFmtId="0" fontId="0" fillId="6" borderId="79" xfId="0" applyFill="1" applyBorder="1" applyProtection="1">
      <protection locked="0"/>
    </xf>
    <xf numFmtId="0" fontId="0" fillId="6" borderId="29" xfId="0" applyFill="1" applyBorder="1" applyProtection="1">
      <protection locked="0"/>
    </xf>
    <xf numFmtId="0" fontId="0" fillId="6" borderId="36" xfId="0" applyFill="1" applyBorder="1" applyProtection="1">
      <protection locked="0"/>
    </xf>
    <xf numFmtId="165" fontId="3" fillId="4" borderId="82" xfId="4" applyNumberFormat="1" applyFont="1" applyFill="1" applyBorder="1" applyAlignment="1" applyProtection="1">
      <alignment horizontal="center" textRotation="90"/>
    </xf>
    <xf numFmtId="165" fontId="3" fillId="4" borderId="34" xfId="4" applyNumberFormat="1" applyFont="1" applyFill="1" applyBorder="1" applyAlignment="1" applyProtection="1">
      <alignment horizontal="center" textRotation="90"/>
    </xf>
    <xf numFmtId="165" fontId="17" fillId="0" borderId="34" xfId="4" applyNumberFormat="1" applyFont="1" applyFill="1" applyBorder="1" applyAlignment="1" applyProtection="1">
      <alignment horizontal="center" wrapText="1"/>
    </xf>
    <xf numFmtId="165" fontId="3" fillId="4" borderId="54" xfId="4" applyNumberFormat="1" applyFont="1" applyFill="1" applyBorder="1" applyAlignment="1">
      <alignment horizontal="center" textRotation="90"/>
    </xf>
    <xf numFmtId="165" fontId="3" fillId="4" borderId="21" xfId="4" applyNumberFormat="1" applyFont="1" applyFill="1" applyBorder="1" applyAlignment="1">
      <alignment horizontal="center" textRotation="90"/>
    </xf>
    <xf numFmtId="165" fontId="17" fillId="0" borderId="16" xfId="4" applyNumberFormat="1" applyFont="1" applyFill="1" applyBorder="1" applyAlignment="1">
      <alignment horizontal="center" wrapText="1"/>
    </xf>
    <xf numFmtId="0" fontId="4" fillId="16" borderId="21" xfId="0" applyFont="1" applyFill="1" applyBorder="1" applyAlignment="1">
      <alignment horizontal="center"/>
    </xf>
    <xf numFmtId="0" fontId="0" fillId="0" borderId="1" xfId="0" applyBorder="1"/>
    <xf numFmtId="6" fontId="0" fillId="0" borderId="1" xfId="0" applyNumberFormat="1" applyBorder="1"/>
    <xf numFmtId="0" fontId="3" fillId="16" borderId="1" xfId="0" applyFont="1" applyFill="1" applyBorder="1" applyAlignment="1">
      <alignment horizontal="center" textRotation="90"/>
    </xf>
    <xf numFmtId="0" fontId="4" fillId="16" borderId="1" xfId="0" applyFont="1" applyFill="1" applyBorder="1"/>
    <xf numFmtId="0" fontId="4" fillId="16" borderId="1" xfId="0" applyFont="1" applyFill="1" applyBorder="1" applyAlignment="1">
      <alignment horizontal="center"/>
    </xf>
    <xf numFmtId="10" fontId="12" fillId="5" borderId="57" xfId="2" applyNumberFormat="1" applyFont="1" applyFill="1" applyBorder="1" applyAlignment="1">
      <alignment horizontal="center" textRotation="90" wrapText="1"/>
    </xf>
    <xf numFmtId="10" fontId="12" fillId="5" borderId="20" xfId="2" applyNumberFormat="1" applyFont="1" applyFill="1" applyBorder="1" applyAlignment="1">
      <alignment horizontal="center" textRotation="90" wrapText="1"/>
    </xf>
    <xf numFmtId="10" fontId="12" fillId="5" borderId="20" xfId="0" applyNumberFormat="1" applyFont="1" applyFill="1" applyBorder="1" applyAlignment="1">
      <alignment horizontal="center" textRotation="90" wrapText="1"/>
    </xf>
    <xf numFmtId="10" fontId="17" fillId="8" borderId="13" xfId="2" applyNumberFormat="1" applyFont="1" applyFill="1" applyBorder="1" applyAlignment="1">
      <alignment textRotation="90"/>
    </xf>
    <xf numFmtId="10" fontId="17" fillId="8" borderId="44" xfId="2" quotePrefix="1" applyNumberFormat="1" applyFont="1" applyFill="1" applyBorder="1"/>
    <xf numFmtId="10" fontId="0" fillId="11" borderId="0" xfId="0" applyNumberFormat="1" applyFill="1"/>
    <xf numFmtId="0" fontId="4" fillId="16" borderId="1" xfId="0" applyFont="1" applyFill="1" applyBorder="1" applyAlignment="1"/>
    <xf numFmtId="0" fontId="4" fillId="16" borderId="72" xfId="0" applyFont="1" applyFill="1" applyBorder="1" applyAlignment="1">
      <alignment horizontal="center" textRotation="90" wrapText="1"/>
    </xf>
    <xf numFmtId="165" fontId="0" fillId="6" borderId="87" xfId="4" applyNumberFormat="1" applyFont="1" applyFill="1" applyBorder="1" applyProtection="1">
      <protection locked="0"/>
    </xf>
    <xf numFmtId="165" fontId="0" fillId="6" borderId="88" xfId="4" applyNumberFormat="1" applyFont="1" applyFill="1" applyBorder="1" applyProtection="1">
      <protection locked="0"/>
    </xf>
    <xf numFmtId="165" fontId="0" fillId="6" borderId="71" xfId="4" applyNumberFormat="1" applyFont="1" applyFill="1" applyBorder="1" applyProtection="1">
      <protection locked="0"/>
    </xf>
    <xf numFmtId="165" fontId="17" fillId="16" borderId="21" xfId="0" applyNumberFormat="1" applyFont="1" applyFill="1" applyBorder="1" applyAlignment="1">
      <alignment horizontal="center" wrapText="1"/>
    </xf>
    <xf numFmtId="0" fontId="3" fillId="4" borderId="13" xfId="0" applyFont="1" applyFill="1" applyBorder="1" applyAlignment="1" applyProtection="1"/>
    <xf numFmtId="10" fontId="0" fillId="0" borderId="8" xfId="2" applyNumberFormat="1" applyFont="1" applyFill="1" applyBorder="1" applyProtection="1">
      <protection locked="0"/>
    </xf>
    <xf numFmtId="165" fontId="17" fillId="16" borderId="34" xfId="2" applyNumberFormat="1" applyFont="1" applyFill="1" applyBorder="1" applyAlignment="1">
      <alignment horizontal="center" wrapText="1"/>
    </xf>
    <xf numFmtId="168" fontId="0" fillId="0" borderId="8" xfId="2" applyNumberFormat="1" applyFont="1" applyFill="1" applyBorder="1" applyProtection="1">
      <protection locked="0"/>
    </xf>
    <xf numFmtId="168" fontId="0" fillId="0" borderId="38" xfId="2" applyNumberFormat="1" applyFont="1" applyFill="1" applyBorder="1" applyProtection="1">
      <protection locked="0"/>
    </xf>
    <xf numFmtId="0" fontId="4" fillId="16" borderId="75" xfId="0" applyFont="1" applyFill="1" applyBorder="1" applyAlignment="1">
      <alignment horizontal="center"/>
    </xf>
    <xf numFmtId="165" fontId="4" fillId="16" borderId="72" xfId="4" applyNumberFormat="1" applyFont="1" applyFill="1" applyBorder="1" applyAlignment="1">
      <alignment horizontal="center" textRotation="90" wrapText="1"/>
    </xf>
    <xf numFmtId="165" fontId="17" fillId="16" borderId="75" xfId="4" applyNumberFormat="1" applyFont="1" applyFill="1" applyBorder="1" applyAlignment="1">
      <alignment horizontal="center" wrapText="1"/>
    </xf>
    <xf numFmtId="10" fontId="0" fillId="11" borderId="0" xfId="2" applyNumberFormat="1" applyFont="1" applyFill="1" applyAlignment="1">
      <alignment horizontal="left"/>
    </xf>
    <xf numFmtId="10" fontId="0" fillId="11" borderId="0" xfId="0" applyNumberFormat="1" applyFill="1" applyAlignment="1">
      <alignment horizontal="left"/>
    </xf>
    <xf numFmtId="9" fontId="0" fillId="11" borderId="0" xfId="2" applyFont="1" applyFill="1" applyAlignment="1">
      <alignment horizontal="left"/>
    </xf>
    <xf numFmtId="43" fontId="0" fillId="11" borderId="0" xfId="1" applyFont="1" applyFill="1" applyAlignment="1">
      <alignment horizontal="left"/>
    </xf>
    <xf numFmtId="165" fontId="0" fillId="11" borderId="0" xfId="4" applyNumberFormat="1" applyFont="1" applyFill="1" applyAlignment="1">
      <alignment horizontal="left"/>
    </xf>
    <xf numFmtId="0" fontId="14" fillId="11" borderId="0" xfId="0" applyFont="1" applyFill="1" applyAlignment="1">
      <alignment horizontal="left"/>
    </xf>
    <xf numFmtId="165" fontId="0" fillId="0" borderId="74" xfId="4" applyNumberFormat="1" applyFont="1" applyFill="1" applyBorder="1" applyProtection="1">
      <protection locked="0"/>
    </xf>
    <xf numFmtId="0" fontId="0" fillId="0" borderId="70" xfId="0" applyFill="1" applyBorder="1" applyProtection="1">
      <protection locked="0"/>
    </xf>
    <xf numFmtId="0" fontId="0" fillId="0" borderId="30" xfId="0" applyFill="1" applyBorder="1" applyProtection="1">
      <protection locked="0"/>
    </xf>
    <xf numFmtId="167" fontId="0" fillId="6" borderId="33" xfId="0" applyNumberFormat="1" applyFill="1" applyBorder="1" applyProtection="1">
      <protection locked="0"/>
    </xf>
    <xf numFmtId="165" fontId="0" fillId="0" borderId="24" xfId="4" applyNumberFormat="1" applyFont="1" applyFill="1" applyBorder="1" applyProtection="1">
      <protection locked="0"/>
    </xf>
    <xf numFmtId="164" fontId="0" fillId="0" borderId="30" xfId="1" applyNumberFormat="1" applyFont="1" applyFill="1" applyBorder="1" applyProtection="1">
      <protection locked="0"/>
    </xf>
    <xf numFmtId="165" fontId="0" fillId="6" borderId="30" xfId="4" applyNumberFormat="1" applyFont="1" applyFill="1" applyBorder="1" applyProtection="1">
      <protection locked="0"/>
    </xf>
    <xf numFmtId="165" fontId="0" fillId="0" borderId="31" xfId="4" applyNumberFormat="1" applyFont="1" applyFill="1" applyBorder="1" applyProtection="1">
      <protection locked="0"/>
    </xf>
    <xf numFmtId="165" fontId="0" fillId="0" borderId="30" xfId="4" applyNumberFormat="1" applyFont="1" applyFill="1" applyBorder="1" applyProtection="1"/>
    <xf numFmtId="10" fontId="17" fillId="8" borderId="47" xfId="2" quotePrefix="1" applyNumberFormat="1" applyFont="1" applyFill="1" applyBorder="1"/>
    <xf numFmtId="9" fontId="17" fillId="8" borderId="20" xfId="2" applyFont="1" applyFill="1" applyBorder="1"/>
    <xf numFmtId="170" fontId="17" fillId="8" borderId="47" xfId="1" applyNumberFormat="1" applyFont="1" applyFill="1" applyBorder="1"/>
    <xf numFmtId="170" fontId="17" fillId="8" borderId="43" xfId="1" applyNumberFormat="1" applyFont="1" applyFill="1" applyBorder="1"/>
    <xf numFmtId="170" fontId="17" fillId="8" borderId="46" xfId="1" applyNumberFormat="1" applyFont="1" applyFill="1" applyBorder="1"/>
    <xf numFmtId="0" fontId="0" fillId="11" borderId="73" xfId="0" applyFill="1" applyBorder="1"/>
    <xf numFmtId="10" fontId="17" fillId="8" borderId="43" xfId="2" quotePrefix="1" applyNumberFormat="1" applyFont="1" applyFill="1" applyBorder="1"/>
    <xf numFmtId="10" fontId="17" fillId="8" borderId="46" xfId="2" quotePrefix="1" applyNumberFormat="1" applyFont="1" applyFill="1" applyBorder="1"/>
    <xf numFmtId="0" fontId="0" fillId="11" borderId="0" xfId="0" applyFill="1" applyBorder="1"/>
    <xf numFmtId="3" fontId="17" fillId="6" borderId="42" xfId="0" applyNumberFormat="1" applyFont="1" applyFill="1" applyBorder="1" applyAlignment="1">
      <alignment textRotation="90"/>
    </xf>
    <xf numFmtId="0" fontId="0" fillId="6" borderId="31" xfId="0" applyFill="1" applyBorder="1" applyProtection="1">
      <protection locked="0"/>
    </xf>
    <xf numFmtId="165" fontId="0" fillId="11" borderId="13" xfId="4" applyNumberFormat="1" applyFont="1" applyFill="1" applyBorder="1"/>
    <xf numFmtId="0" fontId="4" fillId="11" borderId="0" xfId="0" applyFont="1" applyFill="1" applyBorder="1" applyAlignment="1"/>
    <xf numFmtId="0" fontId="0" fillId="3" borderId="83" xfId="0" applyFill="1" applyBorder="1" applyProtection="1">
      <protection locked="0"/>
    </xf>
    <xf numFmtId="9" fontId="0" fillId="0" borderId="74" xfId="2" applyFont="1" applyFill="1" applyBorder="1" applyProtection="1">
      <protection locked="0"/>
    </xf>
    <xf numFmtId="164" fontId="0" fillId="6" borderId="18" xfId="1" applyNumberFormat="1" applyFont="1" applyFill="1" applyBorder="1" applyProtection="1">
      <protection locked="0"/>
    </xf>
    <xf numFmtId="168" fontId="0" fillId="6" borderId="84" xfId="4" applyNumberFormat="1" applyFont="1" applyFill="1" applyBorder="1" applyProtection="1">
      <protection locked="0"/>
    </xf>
    <xf numFmtId="165" fontId="0" fillId="6" borderId="18" xfId="4" applyNumberFormat="1" applyFont="1" applyFill="1" applyBorder="1" applyProtection="1">
      <protection locked="0"/>
    </xf>
    <xf numFmtId="165" fontId="0" fillId="6" borderId="89" xfId="4" applyNumberFormat="1" applyFont="1" applyFill="1" applyBorder="1" applyProtection="1">
      <protection locked="0"/>
    </xf>
    <xf numFmtId="165" fontId="0" fillId="6" borderId="0" xfId="4" applyNumberFormat="1" applyFont="1" applyFill="1" applyBorder="1" applyProtection="1">
      <protection locked="0"/>
    </xf>
    <xf numFmtId="0" fontId="0" fillId="11" borderId="0" xfId="0" applyFill="1" applyBorder="1" applyProtection="1">
      <protection locked="0"/>
    </xf>
    <xf numFmtId="164" fontId="0" fillId="11" borderId="0" xfId="1" applyNumberFormat="1" applyFont="1" applyFill="1" applyBorder="1" applyProtection="1">
      <protection locked="0"/>
    </xf>
    <xf numFmtId="165" fontId="0" fillId="11" borderId="0" xfId="4" applyNumberFormat="1" applyFont="1" applyFill="1" applyBorder="1" applyProtection="1">
      <protection locked="0"/>
    </xf>
    <xf numFmtId="9" fontId="0" fillId="11" borderId="0" xfId="2" applyFont="1" applyFill="1" applyBorder="1" applyProtection="1">
      <protection locked="0"/>
    </xf>
    <xf numFmtId="168" fontId="0" fillId="11" borderId="0" xfId="4" applyNumberFormat="1" applyFont="1" applyFill="1" applyBorder="1" applyProtection="1">
      <protection locked="0"/>
    </xf>
    <xf numFmtId="10" fontId="0" fillId="11" borderId="0" xfId="2" applyNumberFormat="1" applyFont="1" applyFill="1" applyBorder="1" applyProtection="1">
      <protection locked="0"/>
    </xf>
    <xf numFmtId="165" fontId="0" fillId="11" borderId="0" xfId="2" applyNumberFormat="1" applyFont="1" applyFill="1" applyBorder="1" applyProtection="1">
      <protection locked="0"/>
    </xf>
    <xf numFmtId="9" fontId="0" fillId="11" borderId="0" xfId="2" applyFont="1" applyFill="1" applyBorder="1"/>
    <xf numFmtId="9" fontId="17" fillId="11" borderId="0" xfId="2" applyFont="1" applyFill="1" applyBorder="1"/>
    <xf numFmtId="3" fontId="17" fillId="11" borderId="0" xfId="0" applyNumberFormat="1" applyFont="1" applyFill="1" applyBorder="1"/>
    <xf numFmtId="2" fontId="0" fillId="11" borderId="0" xfId="0" applyNumberFormat="1" applyFill="1" applyBorder="1"/>
    <xf numFmtId="164" fontId="0" fillId="11" borderId="0" xfId="1" applyNumberFormat="1" applyFont="1" applyFill="1" applyBorder="1"/>
    <xf numFmtId="165" fontId="0" fillId="11" borderId="0" xfId="4" applyNumberFormat="1" applyFont="1" applyFill="1" applyBorder="1"/>
    <xf numFmtId="10" fontId="0" fillId="11" borderId="0" xfId="2" applyNumberFormat="1" applyFont="1" applyFill="1" applyBorder="1"/>
    <xf numFmtId="9" fontId="17" fillId="6" borderId="46" xfId="2" applyFont="1" applyFill="1" applyBorder="1"/>
    <xf numFmtId="9" fontId="17" fillId="6" borderId="47" xfId="2" applyFont="1" applyFill="1" applyBorder="1"/>
    <xf numFmtId="9" fontId="17" fillId="6" borderId="33" xfId="2" applyFont="1" applyFill="1" applyBorder="1"/>
    <xf numFmtId="0" fontId="0" fillId="6" borderId="62" xfId="0" applyFill="1" applyBorder="1" applyProtection="1">
      <protection locked="0"/>
    </xf>
    <xf numFmtId="165" fontId="0" fillId="11" borderId="13" xfId="4" applyNumberFormat="1" applyFont="1" applyFill="1" applyBorder="1" applyProtection="1">
      <protection locked="0"/>
    </xf>
    <xf numFmtId="0" fontId="0" fillId="13" borderId="73" xfId="0" applyFont="1" applyFill="1" applyBorder="1"/>
    <xf numFmtId="0" fontId="4" fillId="0" borderId="13" xfId="0" applyFont="1" applyFill="1" applyBorder="1" applyProtection="1"/>
    <xf numFmtId="164" fontId="17" fillId="6" borderId="33" xfId="0" applyNumberFormat="1" applyFont="1" applyFill="1" applyBorder="1" applyAlignment="1">
      <alignment horizontal="center" wrapText="1"/>
    </xf>
    <xf numFmtId="164" fontId="2" fillId="0" borderId="46" xfId="2" applyNumberFormat="1" applyFont="1" applyFill="1" applyBorder="1" applyProtection="1">
      <protection locked="0"/>
    </xf>
    <xf numFmtId="164" fontId="2" fillId="0" borderId="47" xfId="2" applyNumberFormat="1" applyFont="1" applyFill="1" applyBorder="1" applyProtection="1">
      <protection locked="0"/>
    </xf>
    <xf numFmtId="164" fontId="2" fillId="0" borderId="48" xfId="2" applyNumberFormat="1" applyFont="1" applyFill="1" applyBorder="1" applyProtection="1">
      <protection locked="0"/>
    </xf>
    <xf numFmtId="0" fontId="0" fillId="11" borderId="73" xfId="0" applyFont="1" applyFill="1" applyBorder="1"/>
    <xf numFmtId="0" fontId="0" fillId="11" borderId="55" xfId="0" applyFont="1" applyFill="1" applyBorder="1"/>
    <xf numFmtId="165" fontId="17" fillId="16" borderId="58" xfId="4" applyNumberFormat="1" applyFont="1" applyFill="1" applyBorder="1" applyAlignment="1">
      <alignment horizontal="center" wrapText="1"/>
    </xf>
    <xf numFmtId="170" fontId="17" fillId="8" borderId="61" xfId="2" applyNumberFormat="1" applyFont="1" applyFill="1" applyBorder="1"/>
    <xf numFmtId="170" fontId="17" fillId="8" borderId="45" xfId="2" applyNumberFormat="1" applyFont="1" applyFill="1" applyBorder="1"/>
    <xf numFmtId="170" fontId="17" fillId="8" borderId="45" xfId="1" applyNumberFormat="1" applyFont="1" applyFill="1" applyBorder="1"/>
    <xf numFmtId="170" fontId="17" fillId="8" borderId="48" xfId="1" applyNumberFormat="1" applyFont="1" applyFill="1" applyBorder="1"/>
    <xf numFmtId="0" fontId="4" fillId="13" borderId="14" xfId="0" applyFont="1" applyFill="1" applyBorder="1" applyAlignment="1" applyProtection="1">
      <alignment horizontal="center" vertical="center" wrapText="1"/>
    </xf>
    <xf numFmtId="0" fontId="10" fillId="11" borderId="0" xfId="3" applyFont="1" applyFill="1" applyAlignment="1" applyProtection="1">
      <alignment horizontal="left" vertical="center"/>
      <protection locked="0"/>
    </xf>
    <xf numFmtId="0" fontId="0" fillId="12" borderId="1" xfId="0" applyFill="1" applyBorder="1" applyAlignment="1">
      <alignment vertical="center"/>
    </xf>
    <xf numFmtId="0" fontId="0" fillId="11" borderId="0" xfId="0" applyFill="1" applyAlignment="1">
      <alignment vertical="center"/>
    </xf>
    <xf numFmtId="0" fontId="0" fillId="11" borderId="55" xfId="0" applyFill="1" applyBorder="1" applyAlignment="1">
      <alignment vertical="center"/>
    </xf>
    <xf numFmtId="0" fontId="0" fillId="2" borderId="0" xfId="0" applyFill="1" applyAlignment="1">
      <alignment vertical="center"/>
    </xf>
    <xf numFmtId="0" fontId="4" fillId="7" borderId="14" xfId="0" applyFont="1" applyFill="1" applyBorder="1" applyAlignment="1">
      <alignment vertical="center"/>
    </xf>
    <xf numFmtId="0" fontId="4" fillId="7" borderId="21" xfId="0" applyFont="1" applyFill="1" applyBorder="1" applyAlignment="1">
      <alignment vertical="center"/>
    </xf>
    <xf numFmtId="43" fontId="4" fillId="7" borderId="21" xfId="1" applyFont="1" applyFill="1" applyBorder="1" applyAlignment="1">
      <alignment vertical="center"/>
    </xf>
    <xf numFmtId="165" fontId="4" fillId="7" borderId="21" xfId="4" applyNumberFormat="1" applyFont="1" applyFill="1" applyBorder="1" applyAlignment="1">
      <alignment vertical="center"/>
    </xf>
    <xf numFmtId="165" fontId="4" fillId="7" borderId="15" xfId="4" applyNumberFormat="1" applyFont="1" applyFill="1" applyBorder="1" applyAlignment="1">
      <alignment vertical="center"/>
    </xf>
    <xf numFmtId="10" fontId="4" fillId="5" borderId="21" xfId="2" applyNumberFormat="1" applyFont="1" applyFill="1" applyBorder="1" applyAlignment="1">
      <alignment vertical="center"/>
    </xf>
    <xf numFmtId="10" fontId="4" fillId="5" borderId="21" xfId="0" applyNumberFormat="1" applyFont="1" applyFill="1" applyBorder="1" applyAlignment="1">
      <alignment vertical="center"/>
    </xf>
    <xf numFmtId="9" fontId="0" fillId="5" borderId="15" xfId="2" applyFont="1" applyFill="1" applyBorder="1" applyAlignment="1">
      <alignment vertical="center"/>
    </xf>
    <xf numFmtId="43" fontId="4" fillId="5" borderId="13" xfId="1" applyFont="1" applyFill="1" applyBorder="1" applyAlignment="1">
      <alignment vertical="center"/>
    </xf>
    <xf numFmtId="43" fontId="4" fillId="5" borderId="21" xfId="1" applyFont="1" applyFill="1" applyBorder="1" applyAlignment="1">
      <alignment vertical="center"/>
    </xf>
    <xf numFmtId="0" fontId="4" fillId="5" borderId="15" xfId="0" applyFont="1" applyFill="1" applyBorder="1" applyAlignment="1">
      <alignment vertical="center"/>
    </xf>
    <xf numFmtId="17" fontId="0" fillId="13" borderId="1" xfId="0" applyNumberFormat="1" applyFill="1" applyBorder="1"/>
    <xf numFmtId="0" fontId="38" fillId="13" borderId="90" xfId="7" applyFill="1"/>
    <xf numFmtId="0" fontId="38" fillId="0" borderId="90" xfId="7" applyFill="1"/>
    <xf numFmtId="0" fontId="38" fillId="11" borderId="90" xfId="7" applyFill="1" applyAlignment="1">
      <alignment horizontal="left"/>
    </xf>
    <xf numFmtId="165" fontId="38" fillId="11" borderId="90" xfId="7" applyNumberFormat="1" applyFill="1" applyAlignment="1">
      <alignment horizontal="left"/>
    </xf>
    <xf numFmtId="10" fontId="38" fillId="11" borderId="90" xfId="7" applyNumberFormat="1" applyFill="1" applyAlignment="1">
      <alignment horizontal="left"/>
    </xf>
    <xf numFmtId="9" fontId="38" fillId="11" borderId="90" xfId="7" applyNumberFormat="1" applyFill="1" applyAlignment="1">
      <alignment horizontal="left"/>
    </xf>
    <xf numFmtId="43" fontId="38" fillId="11" borderId="90" xfId="7" applyNumberFormat="1" applyFill="1" applyAlignment="1">
      <alignment horizontal="left"/>
    </xf>
    <xf numFmtId="0" fontId="38" fillId="12" borderId="90" xfId="7" applyFill="1" applyAlignment="1">
      <alignment horizontal="left"/>
    </xf>
    <xf numFmtId="0" fontId="38" fillId="11" borderId="90" xfId="7" applyFill="1"/>
    <xf numFmtId="0" fontId="38" fillId="11" borderId="90" xfId="7" applyFill="1" applyAlignment="1"/>
    <xf numFmtId="165" fontId="38" fillId="11" borderId="90" xfId="7" applyNumberFormat="1" applyFill="1"/>
    <xf numFmtId="10" fontId="38" fillId="11" borderId="90" xfId="7" applyNumberFormat="1" applyFill="1"/>
    <xf numFmtId="9" fontId="38" fillId="11" borderId="90" xfId="7" applyNumberFormat="1" applyFill="1"/>
    <xf numFmtId="0" fontId="38" fillId="11" borderId="90" xfId="7" applyFill="1" applyProtection="1"/>
    <xf numFmtId="0" fontId="38" fillId="13" borderId="90" xfId="7" applyFill="1" applyProtection="1">
      <protection locked="0"/>
    </xf>
    <xf numFmtId="0" fontId="38" fillId="13" borderId="90" xfId="7" applyFill="1" applyAlignment="1"/>
    <xf numFmtId="0" fontId="38" fillId="13" borderId="90" xfId="7" applyFill="1" applyAlignment="1" applyProtection="1">
      <alignment horizontal="left"/>
    </xf>
    <xf numFmtId="0" fontId="26" fillId="13" borderId="0" xfId="0" applyFont="1" applyFill="1" applyAlignment="1">
      <alignment horizontal="center"/>
    </xf>
    <xf numFmtId="0" fontId="11" fillId="14" borderId="2" xfId="3" applyFont="1" applyFill="1" applyBorder="1" applyAlignment="1" applyProtection="1">
      <alignment horizontal="center"/>
    </xf>
    <xf numFmtId="0" fontId="11" fillId="14" borderId="3" xfId="3" applyFont="1" applyFill="1" applyBorder="1" applyAlignment="1" applyProtection="1">
      <alignment horizontal="center"/>
    </xf>
    <xf numFmtId="0" fontId="11" fillId="14" borderId="4" xfId="3" applyFont="1" applyFill="1" applyBorder="1" applyAlignment="1" applyProtection="1">
      <alignment horizontal="center"/>
    </xf>
    <xf numFmtId="0" fontId="35"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1" fillId="9" borderId="2" xfId="3" applyFont="1" applyFill="1" applyBorder="1" applyAlignment="1">
      <alignment horizontal="center"/>
    </xf>
    <xf numFmtId="0" fontId="11" fillId="9" borderId="3" xfId="3" applyFont="1" applyFill="1" applyBorder="1" applyAlignment="1">
      <alignment horizontal="center"/>
    </xf>
    <xf numFmtId="0" fontId="11" fillId="9" borderId="4" xfId="3" applyFont="1" applyFill="1" applyBorder="1" applyAlignment="1">
      <alignment horizontal="center"/>
    </xf>
    <xf numFmtId="0" fontId="25" fillId="13" borderId="0" xfId="0" applyFont="1" applyFill="1" applyAlignment="1">
      <alignment horizontal="center"/>
    </xf>
    <xf numFmtId="0" fontId="11" fillId="11" borderId="2" xfId="3" applyFont="1" applyFill="1" applyBorder="1" applyAlignment="1">
      <alignment horizontal="center"/>
    </xf>
    <xf numFmtId="0" fontId="11" fillId="11" borderId="3" xfId="3" applyFont="1" applyFill="1" applyBorder="1" applyAlignment="1">
      <alignment horizontal="center"/>
    </xf>
    <xf numFmtId="0" fontId="11" fillId="11" borderId="4" xfId="3" applyFont="1" applyFill="1" applyBorder="1" applyAlignment="1">
      <alignment horizontal="center"/>
    </xf>
    <xf numFmtId="0" fontId="13" fillId="13" borderId="2"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1" fillId="10" borderId="2" xfId="3" applyFont="1" applyFill="1" applyBorder="1" applyAlignment="1">
      <alignment horizontal="center"/>
    </xf>
    <xf numFmtId="0" fontId="11" fillId="10" borderId="3" xfId="3" applyFont="1" applyFill="1" applyBorder="1" applyAlignment="1">
      <alignment horizontal="center"/>
    </xf>
    <xf numFmtId="0" fontId="11" fillId="10" borderId="4" xfId="3" applyFont="1" applyFill="1" applyBorder="1" applyAlignment="1">
      <alignment horizontal="center"/>
    </xf>
    <xf numFmtId="0" fontId="16" fillId="13" borderId="2" xfId="0" applyFont="1" applyFill="1" applyBorder="1" applyAlignment="1">
      <alignment horizontal="center" vertical="center" wrapText="1"/>
    </xf>
    <xf numFmtId="0" fontId="27" fillId="13" borderId="5" xfId="0" applyFont="1" applyFill="1" applyBorder="1" applyAlignment="1">
      <alignment horizontal="left" vertical="top"/>
    </xf>
    <xf numFmtId="0" fontId="27" fillId="13" borderId="6" xfId="0" applyFont="1" applyFill="1" applyBorder="1" applyAlignment="1">
      <alignment horizontal="left" vertical="top"/>
    </xf>
    <xf numFmtId="0" fontId="27" fillId="13" borderId="7" xfId="0" applyFont="1" applyFill="1" applyBorder="1" applyAlignment="1">
      <alignment horizontal="left" vertical="top"/>
    </xf>
    <xf numFmtId="0" fontId="27" fillId="13" borderId="10" xfId="0" applyFont="1" applyFill="1" applyBorder="1" applyAlignment="1">
      <alignment horizontal="left" vertical="top"/>
    </xf>
    <xf numFmtId="0" fontId="27" fillId="13" borderId="11" xfId="0" applyFont="1" applyFill="1" applyBorder="1" applyAlignment="1">
      <alignment horizontal="left" vertical="top"/>
    </xf>
    <xf numFmtId="0" fontId="27" fillId="13" borderId="12" xfId="0" applyFont="1" applyFill="1" applyBorder="1" applyAlignment="1">
      <alignment horizontal="left" vertical="top"/>
    </xf>
    <xf numFmtId="0" fontId="37" fillId="13" borderId="2" xfId="0" applyFont="1" applyFill="1" applyBorder="1" applyAlignment="1">
      <alignment horizontal="center" vertical="center" wrapText="1"/>
    </xf>
    <xf numFmtId="0" fontId="23" fillId="13" borderId="3"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11" fillId="13" borderId="2" xfId="3" applyFont="1" applyFill="1" applyBorder="1" applyAlignment="1">
      <alignment horizontal="center"/>
    </xf>
    <xf numFmtId="0" fontId="11" fillId="13" borderId="3" xfId="3" applyFont="1" applyFill="1" applyBorder="1" applyAlignment="1">
      <alignment horizontal="center"/>
    </xf>
    <xf numFmtId="0" fontId="11" fillId="13" borderId="4" xfId="3" applyFont="1" applyFill="1" applyBorder="1" applyAlignment="1">
      <alignment horizontal="center"/>
    </xf>
    <xf numFmtId="0" fontId="21" fillId="13" borderId="10" xfId="0" applyFont="1" applyFill="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1"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7" xfId="0" applyFont="1" applyFill="1" applyBorder="1" applyAlignment="1">
      <alignment horizontal="center" vertical="center" wrapText="1"/>
    </xf>
    <xf numFmtId="0" fontId="38" fillId="0" borderId="90" xfId="7" applyFill="1" applyAlignment="1">
      <alignment horizontal="center"/>
    </xf>
    <xf numFmtId="0" fontId="4" fillId="0" borderId="17" xfId="0" applyFont="1" applyFill="1" applyBorder="1" applyAlignment="1">
      <alignment horizontal="center" vertical="center" textRotation="90"/>
    </xf>
    <xf numFmtId="0" fontId="4" fillId="0" borderId="18" xfId="0" applyFont="1" applyFill="1" applyBorder="1" applyAlignment="1">
      <alignment horizontal="center" vertical="center" textRotation="90"/>
    </xf>
    <xf numFmtId="0" fontId="4" fillId="0" borderId="19" xfId="0" applyFont="1" applyFill="1" applyBorder="1" applyAlignment="1">
      <alignment horizontal="center" vertical="center" textRotation="90"/>
    </xf>
    <xf numFmtId="0" fontId="3" fillId="0" borderId="14" xfId="0" applyFont="1" applyFill="1" applyBorder="1" applyAlignment="1">
      <alignment horizontal="center"/>
    </xf>
    <xf numFmtId="0" fontId="3" fillId="0" borderId="15" xfId="0" applyFont="1" applyFill="1" applyBorder="1" applyAlignment="1">
      <alignment horizontal="center"/>
    </xf>
    <xf numFmtId="0" fontId="38" fillId="11" borderId="90" xfId="7" applyFill="1" applyAlignment="1">
      <alignment horizontal="left" vertical="center"/>
    </xf>
    <xf numFmtId="43" fontId="38" fillId="11" borderId="90" xfId="7" applyNumberFormat="1" applyFill="1" applyAlignment="1">
      <alignment horizontal="left" vertical="center"/>
    </xf>
    <xf numFmtId="0" fontId="12" fillId="12" borderId="14" xfId="0" applyFont="1" applyFill="1" applyBorder="1" applyAlignment="1">
      <alignment horizontal="center" vertical="center"/>
    </xf>
    <xf numFmtId="0" fontId="12" fillId="12" borderId="21" xfId="0" applyFont="1" applyFill="1" applyBorder="1" applyAlignment="1">
      <alignment horizontal="center" vertical="center"/>
    </xf>
    <xf numFmtId="0" fontId="4" fillId="5" borderId="14" xfId="0" applyFont="1" applyFill="1" applyBorder="1" applyAlignment="1">
      <alignment horizontal="left" vertical="center"/>
    </xf>
    <xf numFmtId="0" fontId="4" fillId="5" borderId="21" xfId="0" applyFont="1" applyFill="1" applyBorder="1" applyAlignment="1">
      <alignment horizontal="left" vertical="center"/>
    </xf>
    <xf numFmtId="0" fontId="3" fillId="4" borderId="14" xfId="0" applyFont="1" applyFill="1" applyBorder="1" applyAlignment="1">
      <alignment horizontal="center" vertical="center"/>
    </xf>
    <xf numFmtId="0" fontId="3" fillId="4" borderId="21" xfId="0" applyFont="1" applyFill="1" applyBorder="1" applyAlignment="1">
      <alignment horizontal="center" vertical="center"/>
    </xf>
    <xf numFmtId="43" fontId="3" fillId="4" borderId="21" xfId="1" applyFont="1" applyFill="1" applyBorder="1" applyAlignment="1">
      <alignment horizontal="center" vertical="center"/>
    </xf>
    <xf numFmtId="43" fontId="3" fillId="4" borderId="21" xfId="1" applyFont="1" applyFill="1" applyBorder="1" applyAlignment="1" applyProtection="1">
      <alignment horizontal="center" vertical="center"/>
    </xf>
    <xf numFmtId="0" fontId="3" fillId="4" borderId="21" xfId="0" applyFont="1" applyFill="1" applyBorder="1" applyAlignment="1" applyProtection="1">
      <alignment horizontal="center" vertical="center"/>
    </xf>
    <xf numFmtId="0" fontId="3" fillId="4" borderId="15" xfId="0" applyFont="1" applyFill="1" applyBorder="1" applyAlignment="1">
      <alignment horizontal="center" vertical="center"/>
    </xf>
    <xf numFmtId="0" fontId="12" fillId="5" borderId="32" xfId="0" applyNumberFormat="1" applyFont="1" applyFill="1" applyBorder="1" applyAlignment="1">
      <alignment horizontal="center" textRotation="90" wrapText="1"/>
    </xf>
    <xf numFmtId="0" fontId="12" fillId="5" borderId="77" xfId="0" applyNumberFormat="1" applyFont="1" applyFill="1" applyBorder="1" applyAlignment="1">
      <alignment horizontal="center" textRotation="90" wrapText="1"/>
    </xf>
    <xf numFmtId="0" fontId="6" fillId="11" borderId="0" xfId="0" applyFont="1" applyFill="1" applyAlignment="1">
      <alignment horizontal="left" vertical="center"/>
    </xf>
    <xf numFmtId="43" fontId="6" fillId="11" borderId="0" xfId="1" applyFont="1" applyFill="1" applyAlignment="1">
      <alignment horizontal="left" vertical="center"/>
    </xf>
    <xf numFmtId="10" fontId="12" fillId="5" borderId="56" xfId="2" applyNumberFormat="1" applyFont="1" applyFill="1" applyBorder="1" applyAlignment="1">
      <alignment horizontal="center" textRotation="90" wrapText="1"/>
    </xf>
    <xf numFmtId="10" fontId="12" fillId="5" borderId="57" xfId="2" applyNumberFormat="1" applyFont="1" applyFill="1" applyBorder="1" applyAlignment="1">
      <alignment horizontal="center" textRotation="90" wrapText="1"/>
    </xf>
    <xf numFmtId="43" fontId="12" fillId="5" borderId="25" xfId="1" applyFont="1" applyFill="1" applyBorder="1" applyAlignment="1">
      <alignment horizontal="center" textRotation="90" wrapText="1"/>
    </xf>
    <xf numFmtId="43" fontId="12" fillId="5" borderId="20" xfId="1" applyFont="1" applyFill="1" applyBorder="1" applyAlignment="1">
      <alignment horizontal="center" textRotation="90" wrapText="1"/>
    </xf>
    <xf numFmtId="0" fontId="12" fillId="5" borderId="25" xfId="0" applyNumberFormat="1" applyFont="1" applyFill="1" applyBorder="1" applyAlignment="1">
      <alignment horizontal="center" textRotation="90" wrapText="1"/>
    </xf>
    <xf numFmtId="0" fontId="12" fillId="5" borderId="20" xfId="0" applyNumberFormat="1" applyFont="1" applyFill="1" applyBorder="1" applyAlignment="1">
      <alignment horizontal="center" textRotation="90" wrapText="1"/>
    </xf>
    <xf numFmtId="10" fontId="12" fillId="5" borderId="56" xfId="0" applyNumberFormat="1" applyFont="1" applyFill="1" applyBorder="1" applyAlignment="1">
      <alignment horizontal="center" textRotation="90" wrapText="1"/>
    </xf>
    <xf numFmtId="10" fontId="12" fillId="5" borderId="57" xfId="0" applyNumberFormat="1" applyFont="1" applyFill="1" applyBorder="1" applyAlignment="1">
      <alignment horizontal="center" textRotation="90" wrapText="1"/>
    </xf>
    <xf numFmtId="9" fontId="12" fillId="5" borderId="25" xfId="2" applyFont="1" applyFill="1" applyBorder="1" applyAlignment="1">
      <alignment horizontal="center" textRotation="90" wrapText="1"/>
    </xf>
    <xf numFmtId="9" fontId="12" fillId="5" borderId="20" xfId="2" applyFont="1" applyFill="1" applyBorder="1" applyAlignment="1">
      <alignment horizontal="center" textRotation="90" wrapText="1"/>
    </xf>
    <xf numFmtId="0" fontId="4" fillId="16" borderId="2" xfId="0" applyFont="1" applyFill="1" applyBorder="1" applyAlignment="1">
      <alignment horizontal="center"/>
    </xf>
    <xf numFmtId="0" fontId="4" fillId="16" borderId="4" xfId="0" applyFont="1" applyFill="1" applyBorder="1" applyAlignment="1">
      <alignment horizontal="center"/>
    </xf>
    <xf numFmtId="0" fontId="38" fillId="11" borderId="90" xfId="7" applyFill="1" applyAlignment="1">
      <alignment horizontal="left"/>
    </xf>
    <xf numFmtId="0" fontId="6" fillId="11" borderId="0" xfId="0" applyFont="1" applyFill="1" applyAlignment="1">
      <alignment horizontal="left"/>
    </xf>
    <xf numFmtId="0" fontId="4" fillId="11" borderId="14" xfId="0" applyFont="1" applyFill="1" applyBorder="1" applyAlignment="1">
      <alignment horizontal="center"/>
    </xf>
    <xf numFmtId="0" fontId="4" fillId="11" borderId="21" xfId="0" applyFont="1" applyFill="1" applyBorder="1" applyAlignment="1">
      <alignment horizontal="center"/>
    </xf>
    <xf numFmtId="0" fontId="4" fillId="16" borderId="14" xfId="0" applyFont="1" applyFill="1" applyBorder="1" applyAlignment="1">
      <alignment horizontal="left"/>
    </xf>
    <xf numFmtId="0" fontId="4" fillId="16" borderId="21" xfId="0" applyFont="1" applyFill="1" applyBorder="1" applyAlignment="1">
      <alignment horizontal="left"/>
    </xf>
    <xf numFmtId="0" fontId="4" fillId="16" borderId="15" xfId="0" applyFont="1" applyFill="1" applyBorder="1" applyAlignment="1">
      <alignment horizontal="left"/>
    </xf>
    <xf numFmtId="0" fontId="34" fillId="11" borderId="14" xfId="0" applyFont="1" applyFill="1" applyBorder="1" applyAlignment="1">
      <alignment horizontal="left" vertical="top" wrapText="1"/>
    </xf>
    <xf numFmtId="0" fontId="34" fillId="11" borderId="21" xfId="0" applyFont="1" applyFill="1" applyBorder="1" applyAlignment="1">
      <alignment horizontal="left" vertical="top" wrapText="1"/>
    </xf>
    <xf numFmtId="0" fontId="34" fillId="11" borderId="15" xfId="0" applyFont="1" applyFill="1" applyBorder="1" applyAlignment="1">
      <alignment horizontal="left" vertical="top" wrapText="1"/>
    </xf>
    <xf numFmtId="0" fontId="4" fillId="11" borderId="14" xfId="0" applyFont="1" applyFill="1" applyBorder="1" applyAlignment="1">
      <alignment horizontal="left" vertical="center"/>
    </xf>
    <xf numFmtId="0" fontId="4" fillId="11" borderId="21" xfId="0" applyFont="1" applyFill="1" applyBorder="1" applyAlignment="1">
      <alignment horizontal="left" vertical="center"/>
    </xf>
    <xf numFmtId="9" fontId="4" fillId="16" borderId="25" xfId="2" applyFont="1" applyFill="1" applyBorder="1" applyAlignment="1">
      <alignment horizontal="center" textRotation="90" wrapText="1"/>
    </xf>
    <xf numFmtId="9" fontId="4" fillId="16" borderId="20" xfId="2" applyFont="1" applyFill="1" applyBorder="1" applyAlignment="1">
      <alignment horizontal="center" textRotation="90" wrapText="1"/>
    </xf>
    <xf numFmtId="0" fontId="4" fillId="16" borderId="25" xfId="0" applyNumberFormat="1" applyFont="1" applyFill="1" applyBorder="1" applyAlignment="1">
      <alignment horizontal="center" textRotation="90" wrapText="1"/>
    </xf>
    <xf numFmtId="0" fontId="4" fillId="16" borderId="20" xfId="0" applyNumberFormat="1" applyFont="1" applyFill="1" applyBorder="1" applyAlignment="1">
      <alignment horizontal="center" textRotation="90" wrapText="1"/>
    </xf>
    <xf numFmtId="9" fontId="4" fillId="16" borderId="56" xfId="2" applyFont="1" applyFill="1" applyBorder="1" applyAlignment="1">
      <alignment horizontal="center" textRotation="90" wrapText="1"/>
    </xf>
    <xf numFmtId="9" fontId="4" fillId="16" borderId="57" xfId="2" applyFont="1" applyFill="1" applyBorder="1" applyAlignment="1">
      <alignment horizontal="center" textRotation="90" wrapText="1"/>
    </xf>
    <xf numFmtId="0" fontId="4" fillId="16" borderId="56" xfId="0" applyNumberFormat="1" applyFont="1" applyFill="1" applyBorder="1" applyAlignment="1">
      <alignment horizontal="center" textRotation="90" wrapText="1"/>
    </xf>
    <xf numFmtId="0" fontId="4" fillId="16" borderId="57" xfId="0" applyNumberFormat="1" applyFont="1" applyFill="1" applyBorder="1" applyAlignment="1">
      <alignment horizontal="center" textRotation="90" wrapText="1"/>
    </xf>
    <xf numFmtId="0" fontId="4" fillId="16" borderId="14" xfId="0" applyFont="1" applyFill="1" applyBorder="1" applyAlignment="1">
      <alignment horizontal="center"/>
    </xf>
    <xf numFmtId="0" fontId="4" fillId="16" borderId="21" xfId="0" applyFont="1" applyFill="1" applyBorder="1" applyAlignment="1">
      <alignment horizontal="center"/>
    </xf>
    <xf numFmtId="0" fontId="4" fillId="16" borderId="14" xfId="0" applyFont="1" applyFill="1" applyBorder="1" applyAlignment="1" applyProtection="1">
      <alignment horizontal="center"/>
    </xf>
    <xf numFmtId="0" fontId="4" fillId="16" borderId="21" xfId="0" applyFont="1" applyFill="1" applyBorder="1" applyAlignment="1" applyProtection="1">
      <alignment horizontal="center"/>
    </xf>
    <xf numFmtId="0" fontId="4" fillId="16" borderId="15" xfId="0" applyFont="1" applyFill="1" applyBorder="1" applyAlignment="1" applyProtection="1">
      <alignment horizontal="center"/>
    </xf>
    <xf numFmtId="0" fontId="4" fillId="16" borderId="26" xfId="0" applyFont="1" applyFill="1" applyBorder="1" applyAlignment="1">
      <alignment horizontal="center"/>
    </xf>
    <xf numFmtId="0" fontId="4" fillId="16" borderId="34" xfId="0" applyFont="1" applyFill="1" applyBorder="1" applyAlignment="1">
      <alignment horizontal="center"/>
    </xf>
    <xf numFmtId="0" fontId="4" fillId="16" borderId="58" xfId="0" applyFont="1" applyFill="1" applyBorder="1" applyAlignment="1">
      <alignment horizontal="center"/>
    </xf>
    <xf numFmtId="9" fontId="4" fillId="16" borderId="25" xfId="0" applyNumberFormat="1" applyFont="1" applyFill="1" applyBorder="1" applyAlignment="1">
      <alignment horizontal="center" textRotation="90" wrapText="1"/>
    </xf>
    <xf numFmtId="0" fontId="4" fillId="16" borderId="65" xfId="0" applyNumberFormat="1" applyFont="1" applyFill="1" applyBorder="1" applyAlignment="1">
      <alignment horizontal="center" textRotation="90" wrapText="1"/>
    </xf>
    <xf numFmtId="0" fontId="4" fillId="16" borderId="78" xfId="0" applyNumberFormat="1" applyFont="1" applyFill="1" applyBorder="1" applyAlignment="1">
      <alignment horizontal="center" textRotation="90" wrapText="1"/>
    </xf>
    <xf numFmtId="0" fontId="38" fillId="11" borderId="90" xfId="7" applyFill="1" applyAlignment="1" applyProtection="1">
      <alignment horizontal="center"/>
    </xf>
    <xf numFmtId="0" fontId="6" fillId="11" borderId="0" xfId="0" applyFont="1" applyFill="1" applyAlignment="1" applyProtection="1">
      <alignment horizontal="center"/>
    </xf>
    <xf numFmtId="0" fontId="33" fillId="13" borderId="14" xfId="0" applyFont="1" applyFill="1" applyBorder="1" applyAlignment="1">
      <alignment horizontal="center" wrapText="1"/>
    </xf>
    <xf numFmtId="0" fontId="33" fillId="13" borderId="21" xfId="0" applyFont="1" applyFill="1" applyBorder="1" applyAlignment="1">
      <alignment horizontal="center" wrapText="1"/>
    </xf>
    <xf numFmtId="0" fontId="33" fillId="13" borderId="15" xfId="0" applyFont="1" applyFill="1" applyBorder="1" applyAlignment="1">
      <alignment horizontal="center" wrapText="1"/>
    </xf>
    <xf numFmtId="0" fontId="38" fillId="13" borderId="90" xfId="7" applyFill="1" applyAlignment="1">
      <alignment horizontal="center" vertical="center"/>
    </xf>
    <xf numFmtId="0" fontId="7" fillId="13" borderId="0" xfId="0" applyFont="1" applyFill="1" applyAlignment="1">
      <alignment horizontal="center"/>
    </xf>
    <xf numFmtId="0" fontId="4" fillId="13" borderId="14" xfId="0" applyFont="1" applyFill="1" applyBorder="1" applyAlignment="1" applyProtection="1">
      <alignment horizontal="center" vertical="center" wrapText="1"/>
    </xf>
    <xf numFmtId="0" fontId="4" fillId="13" borderId="21" xfId="0" applyFont="1" applyFill="1" applyBorder="1" applyAlignment="1" applyProtection="1">
      <alignment horizontal="center" vertical="center" wrapText="1"/>
    </xf>
    <xf numFmtId="0" fontId="4" fillId="13" borderId="15" xfId="0" applyFont="1" applyFill="1" applyBorder="1" applyAlignment="1" applyProtection="1">
      <alignment horizontal="center" vertical="center" wrapText="1"/>
    </xf>
    <xf numFmtId="0" fontId="4" fillId="13" borderId="25" xfId="0" applyFont="1" applyFill="1" applyBorder="1" applyAlignment="1" applyProtection="1">
      <alignment horizontal="center" vertical="center" wrapText="1"/>
    </xf>
    <xf numFmtId="0" fontId="4" fillId="13" borderId="20" xfId="0" applyFont="1" applyFill="1" applyBorder="1" applyAlignment="1" applyProtection="1">
      <alignment horizontal="center" vertical="center" wrapText="1"/>
    </xf>
  </cellXfs>
  <cellStyles count="8">
    <cellStyle name="Comma" xfId="1" builtinId="3"/>
    <cellStyle name="Currency" xfId="4" builtinId="4"/>
    <cellStyle name="Heading 1" xfId="7" builtinId="16"/>
    <cellStyle name="Hyperlink" xfId="3" builtinId="8"/>
    <cellStyle name="I_#_0dp" xfId="5" xr:uid="{00000000-0005-0000-0000-000003000000}"/>
    <cellStyle name="Normal" xfId="0" builtinId="0"/>
    <cellStyle name="Percent" xfId="2" builtinId="5"/>
    <cellStyle name="Percent 2" xfId="6" xr:uid="{00000000-0005-0000-0000-000006000000}"/>
  </cellStyles>
  <dxfs count="56">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8" formatCode="0.0%"/>
      <fill>
        <patternFill patternType="none">
          <fgColor indexed="64"/>
          <bgColor indexed="65"/>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8" formatCode="0.0%"/>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2"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4" formatCode="_-* #,##0_-;\-* #,##0_-;_-* &quot;-&quot;??_-;_-@_-"/>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4"/>
        </patternFill>
      </fill>
      <alignment horizontal="center" vertical="bottom" textRotation="90" wrapText="1" indent="0" justifyLastLine="0" shrinkToFit="0" readingOrder="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outline="0">
        <left style="thin">
          <color indexed="64"/>
        </left>
        <right/>
        <top style="dotted">
          <color indexed="64"/>
        </top>
        <bottom style="dotted">
          <color indexed="64"/>
        </bottom>
      </border>
      <protection locked="1" hidden="0"/>
    </dxf>
    <dxf>
      <numFmt numFmtId="2" formatCode="0.00"/>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1"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outline="0">
        <left style="thin">
          <color indexed="64"/>
        </left>
        <right style="medium">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7" formatCode="&quot;$&quot;#,##0"/>
      <fill>
        <patternFill patternType="solid">
          <fgColor indexed="64"/>
          <bgColor theme="6" tint="0.39997558519241921"/>
        </patternFill>
      </fill>
      <border diagonalUp="0" diagonalDown="0">
        <left style="medium">
          <color indexed="64"/>
        </left>
        <right style="medium">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right style="medium">
          <color indexed="64"/>
        </right>
        <top style="medium">
          <color indexed="64"/>
        </top>
        <bottom style="dotted">
          <color indexed="64"/>
        </bottom>
      </border>
    </dxf>
    <dxf>
      <border outline="0">
        <bottom style="medium">
          <color indexed="64"/>
        </bottom>
      </border>
    </dxf>
    <dxf>
      <font>
        <b/>
        <i val="0"/>
        <strike val="0"/>
        <condense val="0"/>
        <extend val="0"/>
        <outline val="0"/>
        <shadow val="0"/>
        <u val="none"/>
        <vertAlign val="baseline"/>
        <sz val="11"/>
        <color theme="0"/>
        <name val="Century Gothic"/>
        <scheme val="minor"/>
      </font>
      <fill>
        <patternFill patternType="solid">
          <fgColor indexed="64"/>
          <bgColor theme="3" tint="0.39997558519241921"/>
        </patternFill>
      </fill>
      <alignment horizontal="center" vertical="bottom" textRotation="90" wrapText="0"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xdr:from>
          <xdr:col>2</xdr:col>
          <xdr:colOff>12700</xdr:colOff>
          <xdr:row>21</xdr:row>
          <xdr:rowOff>393700</xdr:rowOff>
        </xdr:from>
        <xdr:to>
          <xdr:col>5</xdr:col>
          <xdr:colOff>990600</xdr:colOff>
          <xdr:row>22</xdr:row>
          <xdr:rowOff>419100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100" b="1" i="0" u="sng" strike="noStrike" baseline="0">
                  <a:solidFill>
                    <a:srgbClr val="000000"/>
                  </a:solidFill>
                  <a:latin typeface="Calibri"/>
                  <a:cs typeface="Calibri"/>
                </a:rPr>
                <a:t>Proposed Infrastructure (&amp; Catchments Served)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21</xdr:row>
          <xdr:rowOff>31750</xdr:rowOff>
        </xdr:from>
        <xdr:to>
          <xdr:col>6</xdr:col>
          <xdr:colOff>0</xdr:colOff>
          <xdr:row>21</xdr:row>
          <xdr:rowOff>374650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100" b="1" i="0" u="sng" strike="noStrike" baseline="0">
                  <a:solidFill>
                    <a:srgbClr val="000000"/>
                  </a:solidFill>
                  <a:latin typeface="Calibri"/>
                  <a:cs typeface="Calibri"/>
                </a:rPr>
                <a:t>Current  Infrastructure (&amp; Catchments Served)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603250</xdr:colOff>
          <xdr:row>17</xdr:row>
          <xdr:rowOff>31750</xdr:rowOff>
        </xdr:from>
        <xdr:to>
          <xdr:col>6</xdr:col>
          <xdr:colOff>12700</xdr:colOff>
          <xdr:row>18</xdr:row>
          <xdr:rowOff>38100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AU" sz="1800" b="1" i="0" u="sng" strike="noStrike" baseline="0">
                  <a:solidFill>
                    <a:srgbClr val="000000"/>
                  </a:solidFill>
                  <a:latin typeface="Calibri"/>
                  <a:cs typeface="Calibri"/>
                </a:rPr>
                <a:t>Demand Forecast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12700</xdr:colOff>
          <xdr:row>14</xdr:row>
          <xdr:rowOff>0</xdr:rowOff>
        </xdr:from>
        <xdr:to>
          <xdr:col>5</xdr:col>
          <xdr:colOff>1003300</xdr:colOff>
          <xdr:row>15</xdr:row>
          <xdr:rowOff>12700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54864" tIns="54864" rIns="54864" bIns="54864" anchor="ctr" upright="1"/>
            <a:lstStyle/>
            <a:p>
              <a:pPr algn="ctr" rtl="0">
                <a:defRPr sz="1000"/>
              </a:pPr>
              <a:r>
                <a:rPr lang="en-AU" sz="1800" b="1" i="0" u="sng" strike="noStrike" baseline="0">
                  <a:solidFill>
                    <a:srgbClr val="000000"/>
                  </a:solidFill>
                  <a:latin typeface="Calibri"/>
                  <a:cs typeface="Calibri"/>
                </a:rPr>
                <a:t>Unit Rates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0:P442" totalsRowShown="0" headerRowDxfId="49" headerRowBorderDxfId="48" tableBorderDxfId="47">
  <tableColumns count="15">
    <tableColumn id="1" xr3:uid="{00000000-0010-0000-0000-000001000000}" name="Asset ID" dataDxfId="46"/>
    <tableColumn id="2" xr3:uid="{00000000-0010-0000-0000-000002000000}" name="LGIP ID" dataDxfId="45"/>
    <tableColumn id="3" xr3:uid="{00000000-0010-0000-0000-000003000000}" name="Asset Class" dataDxfId="44"/>
    <tableColumn id="4" xr3:uid="{00000000-0010-0000-0000-000004000000}" name="Sector" dataDxfId="43"/>
    <tableColumn id="5" xr3:uid="{00000000-0010-0000-0000-000005000000}" name="Description" dataDxfId="42"/>
    <tableColumn id="6" xr3:uid="{00000000-0010-0000-0000-000006000000}" name="Utility allowance ($56,000/site)" dataDxfId="41"/>
    <tableColumn id="7" xr3:uid="{00000000-0010-0000-0000-000007000000}" name="Area size (*)" dataDxfId="40"/>
    <tableColumn id="8" xr3:uid="{00000000-0010-0000-0000-000008000000}" name="Unit Rate" dataDxfId="39">
      <calculatedColumnFormula>IFERROR(J11/H11,0)</calculatedColumnFormula>
    </tableColumn>
    <tableColumn id="9" xr3:uid="{00000000-0010-0000-0000-000009000000}" name="Baseline Valuation" dataDxfId="38" dataCellStyle="Currency"/>
    <tableColumn id="14" xr3:uid="{00000000-0010-0000-0000-00000E000000}" name="Size of land (m2) (*)" dataDxfId="37"/>
    <tableColumn id="15" xr3:uid="{00000000-0010-0000-0000-00000F000000}" name="Unit Cost" dataDxfId="36" dataCellStyle="Currency"/>
    <tableColumn id="16" xr3:uid="{00000000-0010-0000-0000-000010000000}" name="Land Value" dataDxfId="35" dataCellStyle="Currency"/>
    <tableColumn id="17" xr3:uid="{00000000-0010-0000-0000-000011000000}" name="Valuation Year" dataDxfId="34"/>
    <tableColumn id="18" xr3:uid="{00000000-0010-0000-0000-000012000000}" name="Escalation" dataDxfId="33">
      <calculatedColumnFormula>IFERROR(('General Input Sheet'!$G$38/(VLOOKUP(N11,'General Input Sheet'!$E$38:$G$44,3,FALSE))),1)</calculatedColumnFormula>
    </tableColumn>
    <tableColumn id="19" xr3:uid="{00000000-0010-0000-0000-000013000000}" name="Current Repalcement Cost" dataDxfId="32" dataCellStyle="Currency">
      <calculatedColumnFormula>J11+M11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FutureTrunkParks" displayName="FutureTrunkParks" ref="B13:AD21" totalsRowShown="0" headerRowDxfId="31" headerRowBorderDxfId="30" tableBorderDxfId="29" headerRowCellStyle="Currency">
  <tableColumns count="29">
    <tableColumn id="1" xr3:uid="{00000000-0010-0000-0100-000001000000}" name="Asset ID" dataDxfId="28"/>
    <tableColumn id="2" xr3:uid="{00000000-0010-0000-0100-000002000000}" name="LGIP ID" dataDxfId="27"/>
    <tableColumn id="3" xr3:uid="{00000000-0010-0000-0100-000003000000}" name="Asset Class" dataDxfId="26"/>
    <tableColumn id="4" xr3:uid="{00000000-0010-0000-0100-000004000000}" name="Service Catchment" dataDxfId="25"/>
    <tableColumn id="5" xr3:uid="{00000000-0010-0000-0100-000005000000}" name="Description" dataDxfId="24"/>
    <tableColumn id="9" xr3:uid="{00000000-0010-0000-0100-000009000000}" name="Land Location/Type" dataDxfId="23"/>
    <tableColumn id="10" xr3:uid="{00000000-0010-0000-0100-00000A000000}" name="Size of land (m2)" dataDxfId="22" dataCellStyle="Comma"/>
    <tableColumn id="11" xr3:uid="{00000000-0010-0000-0100-00000B000000}" name="Unit Cost (m2)" dataDxfId="21" dataCellStyle="Currency">
      <calculatedColumnFormula>IF(G14="",[0]!LandCst,IF($D$9="Landuse",VLOOKUP(G14,LAndcost3,2,FALSE),IF($D$9="Location",VLOOKUP(G14,Landcost2,2,FALSE),"Error")))</calculatedColumnFormula>
    </tableColumn>
    <tableColumn id="12" xr3:uid="{00000000-0010-0000-0100-00000C000000}" name="Land Value" dataDxfId="20" dataCellStyle="Currency"/>
    <tableColumn id="14" xr3:uid="{00000000-0010-0000-0100-00000E000000}" name="Site preparation and connection to services (direct construction) cost  ($)" dataDxfId="19" dataCellStyle="Currency"/>
    <tableColumn id="15" xr3:uid="{00000000-0010-0000-0100-00000F000000}" name="Valuation Year" dataDxfId="18"/>
    <tableColumn id="16" xr3:uid="{00000000-0010-0000-0100-000010000000}" name="Indirect Cost Escalation %" dataDxfId="17"/>
    <tableColumn id="17" xr3:uid="{00000000-0010-0000-0100-000011000000}" name="Indirect Embellishment Costs" dataDxfId="16"/>
    <tableColumn id="18" xr3:uid="{00000000-0010-0000-0100-000012000000}" name="Multiplier" dataDxfId="15"/>
    <tableColumn id="19" xr3:uid="{00000000-0010-0000-0100-000013000000}" name="Contingency Cost %" dataDxfId="14" dataCellStyle="Currency"/>
    <tableColumn id="20" xr3:uid="{00000000-0010-0000-0100-000014000000}" name="Project Owners Cost %" dataDxfId="13" dataCellStyle="Currency"/>
    <tableColumn id="21" xr3:uid="{00000000-0010-0000-0100-000015000000}" name="Work Cost              (at Base Year)" dataDxfId="12" dataCellStyle="Currency"/>
    <tableColumn id="29" xr3:uid="{7AEC5D33-F453-4782-A3B0-73BC886120D8}" name="Contingency Cost ($)" dataDxfId="11" dataCellStyle="Currency">
      <calculatedColumnFormula>ROUND((K14+N14+Q14)*P14,0)</calculatedColumnFormula>
    </tableColumn>
    <tableColumn id="22" xr3:uid="{00000000-0010-0000-0100-000016000000}" name="Year of Provision" dataDxfId="10"/>
    <tableColumn id="23" xr3:uid="{00000000-0010-0000-0100-000017000000}" name="Land Cost Escalation" dataDxfId="9"/>
    <tableColumn id="24" xr3:uid="{00000000-0010-0000-0100-000018000000}" name="Work Cost Escalation" dataDxfId="8"/>
    <tableColumn id="36" xr3:uid="{5B96D05A-2351-4805-8349-88A10968DA77}" name="Spare Capacity %" dataDxfId="7" dataCellStyle="Percent">
      <calculatedColumnFormula>IFERROR(IF(FutureTrunkParks[[#This Row],[Year of Provision]]&gt;2019,VLOOKUP(FutureTrunkParks[[#This Row],[Service Catchment]],'Catchment Demand -LFCF'!$C$8:$M$12,11,FALSE),""),"")</calculatedColumnFormula>
    </tableColumn>
    <tableColumn id="34" xr3:uid="{2A592156-D6DB-4AEF-8B4F-C4162D86B264}" name="Share of the total Cost with the same year of provision %" dataDxfId="6" dataCellStyle="Percent">
      <calculatedColumnFormula>FutureTrunkParks[[#This Row],[Total Assets Cost (at Base Year)]]/#REF!</calculatedColumnFormula>
    </tableColumn>
    <tableColumn id="37" xr3:uid="{5913633F-A58B-44D7-B25F-5E47AD758C90}" name=" Terminal Value Analysis" dataDxfId="5" dataCellStyle="Percent">
      <calculatedColumnFormula>IF(AND(FutureTrunkParks[[#This Row],[Spare Capacity %]]&gt;30%,FutureTrunkParks[[#This Row],[Share of the total Cost with the same year of provision %]]&gt;20%),(1-FutureTrunkParks[[#This Row],[Spare Capacity %]]),1)</calculatedColumnFormula>
    </tableColumn>
    <tableColumn id="28" xr3:uid="{00000000-0010-0000-0100-00001C000000}" name="Final Terminal value adjustment %" dataDxfId="4"/>
    <tableColumn id="25" xr3:uid="{00000000-0010-0000-0100-000019000000}" name="Total Assets Cost (at Base Year)" dataDxfId="3" dataCellStyle="Currency"/>
    <tableColumn id="26" xr3:uid="{00000000-0010-0000-0100-00001A000000}" name="Total Asset Cost (escalated)" dataDxfId="2" dataCellStyle="Currency"/>
    <tableColumn id="27" xr3:uid="{00000000-0010-0000-0100-00001B000000}" name="Net Present Value of Total Asset Cost" dataDxfId="1" dataCellStyle="Currency"/>
    <tableColumn id="30" xr3:uid="{0C6D07AF-D9B0-4093-8762-9E13FB67C99F}" name="NPV Total Asset Cost after Terminal Value Adjustment" dataDxfId="0" dataCellStyle="Currency"/>
  </tableColumns>
  <tableStyleInfo name="TableStyleMedium9"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S28"/>
  <sheetViews>
    <sheetView tabSelected="1" zoomScale="90" zoomScaleNormal="90" workbookViewId="0">
      <selection activeCell="V10" sqref="V10"/>
    </sheetView>
  </sheetViews>
  <sheetFormatPr defaultColWidth="9" defaultRowHeight="13.5"/>
  <cols>
    <col min="1" max="1" width="3.33203125" style="27" customWidth="1"/>
    <col min="2" max="2" width="3.5" style="27" customWidth="1"/>
    <col min="3" max="3" width="22.33203125" style="27" customWidth="1"/>
    <col min="4" max="5" width="9" style="27"/>
    <col min="6" max="6" width="6.5" style="27" customWidth="1"/>
    <col min="7" max="7" width="8.5" style="27" customWidth="1"/>
    <col min="8" max="8" width="7.33203125" style="27" customWidth="1"/>
    <col min="9" max="9" width="11.33203125" style="27" customWidth="1"/>
    <col min="10" max="10" width="9" style="27"/>
    <col min="11" max="11" width="12.58203125" style="27" customWidth="1"/>
    <col min="12" max="12" width="8.83203125" style="27" customWidth="1"/>
    <col min="13" max="15" width="9" style="27"/>
    <col min="16" max="16" width="19.5" style="27" customWidth="1"/>
    <col min="17" max="16384" width="9" style="27"/>
  </cols>
  <sheetData>
    <row r="2" spans="2:18" s="373" customFormat="1" ht="20" thickBot="1">
      <c r="B2" s="388" t="s">
        <v>115</v>
      </c>
      <c r="C2" s="388"/>
      <c r="D2" s="388"/>
      <c r="E2" s="388"/>
      <c r="F2" s="388"/>
      <c r="G2" s="388"/>
      <c r="H2" s="388"/>
      <c r="I2" s="388"/>
      <c r="J2" s="388"/>
      <c r="K2" s="388"/>
      <c r="L2" s="388"/>
      <c r="M2" s="388"/>
      <c r="N2" s="388"/>
      <c r="O2" s="388"/>
      <c r="P2" s="388"/>
    </row>
    <row r="3" spans="2:18" s="373" customFormat="1" ht="20.5" thickTop="1" thickBot="1">
      <c r="B3" s="389" t="s">
        <v>114</v>
      </c>
      <c r="C3" s="389"/>
      <c r="D3" s="389"/>
      <c r="E3" s="389"/>
      <c r="F3" s="389"/>
      <c r="G3" s="389"/>
      <c r="H3" s="389"/>
      <c r="I3" s="389"/>
      <c r="J3" s="389"/>
      <c r="K3" s="389"/>
      <c r="L3" s="389"/>
      <c r="M3" s="389"/>
      <c r="N3" s="389"/>
      <c r="O3" s="389"/>
      <c r="P3" s="389"/>
    </row>
    <row r="4" spans="2:18" ht="25" thickTop="1">
      <c r="B4" s="28"/>
      <c r="F4" s="390"/>
      <c r="G4" s="390"/>
    </row>
    <row r="5" spans="2:18" ht="8.25" customHeight="1"/>
    <row r="6" spans="2:18" ht="15.5">
      <c r="B6" s="29" t="s">
        <v>0</v>
      </c>
      <c r="C6" s="29"/>
      <c r="D6" s="30">
        <v>1</v>
      </c>
      <c r="E6" s="29"/>
      <c r="F6" s="29" t="s">
        <v>1</v>
      </c>
      <c r="G6" s="372">
        <v>44540</v>
      </c>
      <c r="J6" s="29" t="s">
        <v>98</v>
      </c>
      <c r="K6" s="31" t="s">
        <v>999</v>
      </c>
      <c r="Q6" s="27" t="s">
        <v>46</v>
      </c>
    </row>
    <row r="7" spans="2:18" ht="6" customHeight="1">
      <c r="B7" s="29"/>
      <c r="C7" s="29"/>
      <c r="D7" s="29"/>
      <c r="E7" s="29"/>
      <c r="F7" s="29"/>
      <c r="G7" s="29"/>
      <c r="H7" s="29"/>
      <c r="I7" s="29"/>
      <c r="J7" s="29"/>
    </row>
    <row r="8" spans="2:18" ht="15.5">
      <c r="B8" s="29" t="s">
        <v>2</v>
      </c>
      <c r="C8" s="32"/>
      <c r="D8" s="417" t="s">
        <v>1000</v>
      </c>
      <c r="E8" s="418"/>
      <c r="F8" s="418"/>
      <c r="G8" s="418"/>
      <c r="H8" s="418"/>
      <c r="I8" s="418"/>
      <c r="J8" s="418"/>
      <c r="K8" s="418"/>
      <c r="L8" s="418"/>
      <c r="M8" s="418"/>
      <c r="N8" s="418"/>
      <c r="O8" s="418"/>
      <c r="P8" s="419"/>
    </row>
    <row r="9" spans="2:18" ht="15.5">
      <c r="C9" s="32"/>
      <c r="D9" s="420"/>
      <c r="E9" s="421"/>
      <c r="F9" s="421"/>
      <c r="G9" s="421"/>
      <c r="H9" s="421"/>
      <c r="I9" s="421"/>
      <c r="J9" s="421"/>
      <c r="K9" s="421"/>
      <c r="L9" s="421"/>
      <c r="M9" s="421"/>
      <c r="N9" s="421"/>
      <c r="O9" s="421"/>
      <c r="P9" s="422"/>
    </row>
    <row r="10" spans="2:18" ht="49.75" customHeight="1">
      <c r="B10" s="29"/>
      <c r="D10" s="406" t="s">
        <v>88</v>
      </c>
      <c r="E10" s="406"/>
      <c r="F10" s="38"/>
      <c r="G10" s="38"/>
      <c r="H10" s="38"/>
      <c r="I10" s="406" t="s">
        <v>89</v>
      </c>
      <c r="J10" s="406"/>
      <c r="K10" s="38"/>
      <c r="L10" s="38"/>
      <c r="M10" s="38"/>
      <c r="N10" s="406" t="s">
        <v>90</v>
      </c>
      <c r="O10" s="406"/>
    </row>
    <row r="11" spans="2:18" ht="9" customHeight="1">
      <c r="B11" s="29"/>
    </row>
    <row r="12" spans="2:18" ht="22.5">
      <c r="C12" s="407" t="s">
        <v>5</v>
      </c>
      <c r="D12" s="408"/>
      <c r="E12" s="408"/>
      <c r="F12" s="409"/>
      <c r="H12" s="391" t="s">
        <v>87</v>
      </c>
      <c r="I12" s="392"/>
      <c r="J12" s="392"/>
      <c r="K12" s="393"/>
      <c r="M12" s="403" t="s">
        <v>85</v>
      </c>
      <c r="N12" s="404"/>
      <c r="O12" s="404"/>
      <c r="P12" s="405"/>
      <c r="R12" s="27" t="s">
        <v>46</v>
      </c>
    </row>
    <row r="13" spans="2:18" ht="47.25" customHeight="1">
      <c r="C13" s="410" t="s">
        <v>29</v>
      </c>
      <c r="D13" s="411"/>
      <c r="E13" s="411"/>
      <c r="F13" s="412"/>
      <c r="H13" s="394" t="s">
        <v>137</v>
      </c>
      <c r="I13" s="395"/>
      <c r="J13" s="395"/>
      <c r="K13" s="396"/>
      <c r="M13" s="416" t="s">
        <v>91</v>
      </c>
      <c r="N13" s="411"/>
      <c r="O13" s="411"/>
      <c r="P13" s="412"/>
      <c r="R13" s="27" t="s">
        <v>46</v>
      </c>
    </row>
    <row r="14" spans="2:18" ht="24" customHeight="1">
      <c r="H14" s="397"/>
      <c r="I14" s="398"/>
      <c r="J14" s="398"/>
      <c r="K14" s="399"/>
    </row>
    <row r="15" spans="2:18" ht="41.5" customHeight="1">
      <c r="B15" s="37"/>
      <c r="C15" s="413"/>
      <c r="D15" s="414"/>
      <c r="E15" s="414"/>
      <c r="F15" s="415"/>
      <c r="H15" s="397"/>
      <c r="I15" s="398"/>
      <c r="J15" s="398"/>
      <c r="K15" s="399"/>
      <c r="M15" s="403" t="s">
        <v>28</v>
      </c>
      <c r="N15" s="404"/>
      <c r="O15" s="404"/>
      <c r="P15" s="405"/>
    </row>
    <row r="16" spans="2:18" ht="48.75" customHeight="1">
      <c r="C16" s="410" t="s">
        <v>4</v>
      </c>
      <c r="D16" s="411"/>
      <c r="E16" s="411"/>
      <c r="F16" s="412"/>
      <c r="H16" s="397"/>
      <c r="I16" s="398"/>
      <c r="J16" s="398"/>
      <c r="K16" s="399"/>
      <c r="M16" s="423" t="s">
        <v>998</v>
      </c>
      <c r="N16" s="424"/>
      <c r="O16" s="424"/>
      <c r="P16" s="425"/>
    </row>
    <row r="17" spans="2:19" ht="15" customHeight="1">
      <c r="H17" s="397"/>
      <c r="I17" s="398"/>
      <c r="J17" s="398"/>
      <c r="K17" s="399"/>
      <c r="M17" s="33"/>
      <c r="N17" s="33"/>
      <c r="O17" s="33"/>
      <c r="P17" s="33"/>
    </row>
    <row r="18" spans="2:19" ht="23.25" customHeight="1">
      <c r="C18" s="426"/>
      <c r="D18" s="427"/>
      <c r="E18" s="427"/>
      <c r="F18" s="428"/>
      <c r="H18" s="397"/>
      <c r="I18" s="398"/>
      <c r="J18" s="398"/>
      <c r="K18" s="399"/>
      <c r="M18" s="34"/>
      <c r="N18" s="34"/>
      <c r="O18" s="34"/>
      <c r="P18" s="34"/>
    </row>
    <row r="19" spans="2:19" ht="36.75" customHeight="1">
      <c r="C19" s="416" t="s">
        <v>86</v>
      </c>
      <c r="D19" s="411"/>
      <c r="E19" s="411"/>
      <c r="F19" s="412"/>
      <c r="H19" s="397"/>
      <c r="I19" s="398"/>
      <c r="J19" s="398"/>
      <c r="K19" s="399"/>
      <c r="M19" s="34"/>
      <c r="N19" s="34"/>
      <c r="O19" s="34"/>
      <c r="P19" s="34"/>
      <c r="R19" s="27" t="s">
        <v>46</v>
      </c>
    </row>
    <row r="20" spans="2:19">
      <c r="H20" s="397"/>
      <c r="I20" s="398"/>
      <c r="J20" s="398"/>
      <c r="K20" s="399"/>
    </row>
    <row r="21" spans="2:19" ht="22.5">
      <c r="C21" s="407" t="s">
        <v>3</v>
      </c>
      <c r="D21" s="408"/>
      <c r="E21" s="408"/>
      <c r="F21" s="409"/>
      <c r="H21" s="397"/>
      <c r="I21" s="398"/>
      <c r="J21" s="398"/>
      <c r="K21" s="399"/>
    </row>
    <row r="22" spans="2:19" ht="31.5" customHeight="1">
      <c r="C22" s="432"/>
      <c r="D22" s="433"/>
      <c r="E22" s="433"/>
      <c r="F22" s="434"/>
      <c r="H22" s="397"/>
      <c r="I22" s="398"/>
      <c r="J22" s="398"/>
      <c r="K22" s="399"/>
    </row>
    <row r="23" spans="2:19" ht="33.75" customHeight="1">
      <c r="C23" s="429"/>
      <c r="D23" s="430"/>
      <c r="E23" s="430"/>
      <c r="F23" s="431"/>
      <c r="H23" s="400"/>
      <c r="I23" s="401"/>
      <c r="J23" s="401"/>
      <c r="K23" s="402"/>
      <c r="M23" s="34"/>
      <c r="N23" s="34"/>
      <c r="O23" s="34"/>
      <c r="P23" s="34"/>
    </row>
    <row r="24" spans="2:19" ht="15" customHeight="1">
      <c r="M24" s="35"/>
      <c r="N24" s="35"/>
      <c r="O24" s="35"/>
      <c r="P24" s="35"/>
    </row>
    <row r="28" spans="2:19" ht="15.5">
      <c r="B28" s="29"/>
      <c r="S28" s="36"/>
    </row>
  </sheetData>
  <mergeCells count="22">
    <mergeCell ref="C18:F18"/>
    <mergeCell ref="M15:P15"/>
    <mergeCell ref="C23:F23"/>
    <mergeCell ref="C22:F22"/>
    <mergeCell ref="C19:F19"/>
    <mergeCell ref="C21:F21"/>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s>
  <hyperlinks>
    <hyperlink ref="C12" location="'General Input Sheet'!A1" display="Generl Input Sheet" xr:uid="{00000000-0004-0000-0000-000000000000}"/>
    <hyperlink ref="M12:P12" location="'Summary Cost Schedule'!A1" display="Summary Cost Schedule" xr:uid="{00000000-0004-0000-0000-000001000000}"/>
    <hyperlink ref="M15:P15" location="'CF Projections'!A1" display="Summary Cash flow Projections" xr:uid="{00000000-0004-0000-0000-000002000000}"/>
  </hyperlinks>
  <pageMargins left="0.25" right="0.25" top="0.75" bottom="0.75" header="0.3" footer="0.3"/>
  <pageSetup paperSize="8" fitToHeight="0" orientation="landscape" r:id="rId1"/>
  <headerFooter>
    <oddFooter>&amp;C_x000D_&amp;1#&amp;"Arial"&amp;10&amp;KFF0000 SECURITY LABEL: OFFICIAL</oddFooter>
  </headerFooter>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FutureInf">
                <anchor moveWithCells="1" sizeWithCells="1">
                  <from>
                    <xdr:col>2</xdr:col>
                    <xdr:colOff>12700</xdr:colOff>
                    <xdr:row>21</xdr:row>
                    <xdr:rowOff>393700</xdr:rowOff>
                  </from>
                  <to>
                    <xdr:col>5</xdr:col>
                    <xdr:colOff>990600</xdr:colOff>
                    <xdr:row>22</xdr:row>
                    <xdr:rowOff>419100</xdr:rowOff>
                  </to>
                </anchor>
              </controlPr>
            </control>
          </mc:Choice>
        </mc:AlternateContent>
        <mc:AlternateContent xmlns:mc="http://schemas.openxmlformats.org/markup-compatibility/2006">
          <mc:Choice Requires="x14">
            <control shapeId="1026" r:id="rId6" name="Button 2">
              <controlPr defaultSize="0" print="0" autoFill="0" autoPict="0" macro="[0]!Existinginf">
                <anchor moveWithCells="1" sizeWithCells="1">
                  <from>
                    <xdr:col>2</xdr:col>
                    <xdr:colOff>12700</xdr:colOff>
                    <xdr:row>21</xdr:row>
                    <xdr:rowOff>31750</xdr:rowOff>
                  </from>
                  <to>
                    <xdr:col>6</xdr:col>
                    <xdr:colOff>0</xdr:colOff>
                    <xdr:row>21</xdr:row>
                    <xdr:rowOff>374650</xdr:rowOff>
                  </to>
                </anchor>
              </controlPr>
            </control>
          </mc:Choice>
        </mc:AlternateContent>
        <mc:AlternateContent xmlns:mc="http://schemas.openxmlformats.org/markup-compatibility/2006">
          <mc:Choice Requires="x14">
            <control shapeId="1027" r:id="rId7" name="Button 3">
              <controlPr defaultSize="0" print="0" autoFill="0" autoPict="0" macro="[0]!Demandforecast">
                <anchor moveWithCells="1" sizeWithCells="1">
                  <from>
                    <xdr:col>1</xdr:col>
                    <xdr:colOff>603250</xdr:colOff>
                    <xdr:row>17</xdr:row>
                    <xdr:rowOff>31750</xdr:rowOff>
                  </from>
                  <to>
                    <xdr:col>6</xdr:col>
                    <xdr:colOff>12700</xdr:colOff>
                    <xdr:row>18</xdr:row>
                    <xdr:rowOff>38100</xdr:rowOff>
                  </to>
                </anchor>
              </controlPr>
            </control>
          </mc:Choice>
        </mc:AlternateContent>
        <mc:AlternateContent xmlns:mc="http://schemas.openxmlformats.org/markup-compatibility/2006">
          <mc:Choice Requires="x14">
            <control shapeId="1028" r:id="rId8" name="Button 4">
              <controlPr defaultSize="0" print="0" autoFill="0" autoPict="0" macro="[0]!Unitrates">
                <anchor moveWithCells="1" sizeWithCells="1">
                  <from>
                    <xdr:col>2</xdr:col>
                    <xdr:colOff>12700</xdr:colOff>
                    <xdr:row>14</xdr:row>
                    <xdr:rowOff>0</xdr:rowOff>
                  </from>
                  <to>
                    <xdr:col>5</xdr:col>
                    <xdr:colOff>1003300</xdr:colOff>
                    <xdr:row>15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sheetPr>
  <dimension ref="A2:L51"/>
  <sheetViews>
    <sheetView zoomScale="80" zoomScaleNormal="80" workbookViewId="0">
      <selection activeCell="S10" sqref="S10"/>
    </sheetView>
  </sheetViews>
  <sheetFormatPr defaultColWidth="9" defaultRowHeight="13.5"/>
  <cols>
    <col min="1" max="1" width="9" style="37"/>
    <col min="2" max="2" width="5.33203125" style="37" customWidth="1"/>
    <col min="3" max="3" width="53.83203125" style="37" customWidth="1"/>
    <col min="4" max="4" width="3.5" style="37" customWidth="1"/>
    <col min="5" max="5" width="12" style="37" customWidth="1"/>
    <col min="6" max="6" width="3.33203125" style="37" customWidth="1"/>
    <col min="7" max="7" width="10.83203125" style="37" customWidth="1"/>
    <col min="8" max="8" width="2" style="37" customWidth="1"/>
    <col min="9" max="9" width="56.33203125" style="37" customWidth="1"/>
    <col min="10" max="10" width="9" style="37"/>
    <col min="11" max="12" width="1.08203125" style="37" customWidth="1"/>
    <col min="13" max="16384" width="9" style="37"/>
  </cols>
  <sheetData>
    <row r="2" spans="1:12" ht="20" thickBot="1">
      <c r="B2" s="435" t="str">
        <f>'Navigation Pane'!B2</f>
        <v>Brisbane City Council</v>
      </c>
      <c r="C2" s="435"/>
      <c r="D2" s="435"/>
      <c r="E2" s="435"/>
      <c r="F2" s="435"/>
      <c r="G2" s="435"/>
      <c r="H2" s="435"/>
      <c r="I2" s="435"/>
      <c r="J2" s="435"/>
      <c r="K2" s="435"/>
      <c r="L2" s="435"/>
    </row>
    <row r="3" spans="1:12" ht="20.5" thickTop="1" thickBot="1">
      <c r="A3" s="221" t="s">
        <v>53</v>
      </c>
      <c r="B3" s="374"/>
      <c r="C3" s="374"/>
      <c r="D3" s="374"/>
      <c r="E3" s="374"/>
      <c r="F3" s="374"/>
      <c r="G3" s="374"/>
      <c r="H3" s="374"/>
      <c r="I3" s="374"/>
      <c r="J3" s="374"/>
      <c r="K3" s="374"/>
      <c r="L3" s="374"/>
    </row>
    <row r="4" spans="1:12" ht="20.5" thickTop="1" thickBot="1">
      <c r="B4" s="435" t="s">
        <v>5</v>
      </c>
      <c r="C4" s="435"/>
      <c r="D4" s="435"/>
      <c r="E4" s="435"/>
      <c r="F4" s="435"/>
      <c r="G4" s="435"/>
      <c r="H4" s="435"/>
      <c r="I4" s="435"/>
      <c r="J4" s="435"/>
      <c r="K4" s="435"/>
      <c r="L4" s="374"/>
    </row>
    <row r="5" spans="1:12" ht="14.5" thickTop="1" thickBot="1"/>
    <row r="6" spans="1:12" ht="14.5" thickBot="1">
      <c r="B6" s="439" t="s">
        <v>6</v>
      </c>
      <c r="C6" s="440"/>
      <c r="E6" s="222" t="s">
        <v>9</v>
      </c>
      <c r="F6" s="222"/>
      <c r="G6" s="222" t="s">
        <v>10</v>
      </c>
      <c r="H6" s="222"/>
      <c r="I6" s="222" t="s">
        <v>2</v>
      </c>
    </row>
    <row r="7" spans="1:12" ht="5.15" customHeight="1" thickBot="1"/>
    <row r="8" spans="1:12" ht="14.5" thickBot="1">
      <c r="C8" s="20" t="s">
        <v>7</v>
      </c>
      <c r="E8" s="223" t="s">
        <v>8</v>
      </c>
      <c r="G8" s="224">
        <v>2016</v>
      </c>
      <c r="I8" s="12"/>
    </row>
    <row r="9" spans="1:12" ht="7.4" customHeight="1" thickBot="1">
      <c r="G9" s="225">
        <f>YEAR</f>
        <v>2016</v>
      </c>
      <c r="I9" s="226"/>
    </row>
    <row r="10" spans="1:12" ht="14.5" thickBot="1">
      <c r="C10" s="20" t="s">
        <v>95</v>
      </c>
      <c r="E10" s="223" t="s">
        <v>96</v>
      </c>
      <c r="G10" s="224">
        <v>10</v>
      </c>
      <c r="I10" s="12"/>
    </row>
    <row r="11" spans="1:12" ht="5.15" customHeight="1" thickBot="1">
      <c r="I11" s="226"/>
    </row>
    <row r="12" spans="1:12" ht="14.5" thickBot="1">
      <c r="B12" s="439" t="s">
        <v>58</v>
      </c>
      <c r="C12" s="440"/>
      <c r="I12" s="226"/>
    </row>
    <row r="13" spans="1:12" ht="5.15" customHeight="1" thickBot="1">
      <c r="C13" s="37" t="s">
        <v>46</v>
      </c>
      <c r="I13" s="226"/>
    </row>
    <row r="14" spans="1:12" ht="14.5" thickBot="1">
      <c r="C14" s="20" t="s">
        <v>59</v>
      </c>
      <c r="E14" s="223" t="s">
        <v>56</v>
      </c>
      <c r="G14" s="224" t="s">
        <v>54</v>
      </c>
      <c r="I14" s="12"/>
    </row>
    <row r="15" spans="1:12" ht="5.15" customHeight="1" thickBot="1">
      <c r="I15" s="226"/>
    </row>
    <row r="16" spans="1:12" ht="14.5" thickBot="1">
      <c r="B16" s="439" t="s">
        <v>31</v>
      </c>
      <c r="C16" s="440"/>
      <c r="I16" s="226"/>
    </row>
    <row r="17" spans="2:9" ht="5.15" customHeight="1">
      <c r="I17" s="226"/>
    </row>
    <row r="18" spans="2:9" ht="14.5" thickBot="1">
      <c r="B18" s="227" t="s">
        <v>11</v>
      </c>
      <c r="D18" s="228"/>
      <c r="F18" s="228"/>
      <c r="I18" s="226"/>
    </row>
    <row r="19" spans="2:9" ht="15.75" customHeight="1" thickBot="1">
      <c r="C19" s="20" t="s">
        <v>12</v>
      </c>
      <c r="D19" s="228"/>
      <c r="E19" s="223" t="s">
        <v>43</v>
      </c>
      <c r="F19" s="228"/>
      <c r="G19" s="229"/>
      <c r="I19" s="12"/>
    </row>
    <row r="20" spans="2:9" ht="5.15" customHeight="1" thickBot="1">
      <c r="I20" s="226"/>
    </row>
    <row r="21" spans="2:9" ht="14.5" thickBot="1">
      <c r="B21" s="436" t="s">
        <v>15</v>
      </c>
      <c r="C21" s="20" t="s">
        <v>32</v>
      </c>
      <c r="D21" s="230"/>
      <c r="E21" s="223" t="s">
        <v>13</v>
      </c>
      <c r="F21" s="230"/>
      <c r="G21" s="229"/>
      <c r="I21" s="12" t="s">
        <v>71</v>
      </c>
    </row>
    <row r="22" spans="2:9" ht="14.5" thickBot="1">
      <c r="B22" s="437"/>
      <c r="C22" s="231"/>
      <c r="D22" s="228"/>
      <c r="E22" s="228"/>
      <c r="F22" s="228"/>
      <c r="G22" s="232"/>
      <c r="I22" s="226"/>
    </row>
    <row r="23" spans="2:9" ht="14.5" thickBot="1">
      <c r="B23" s="438"/>
      <c r="C23" s="233" t="s">
        <v>14</v>
      </c>
      <c r="D23" s="234"/>
      <c r="E23" s="223" t="s">
        <v>16</v>
      </c>
      <c r="F23" s="234"/>
      <c r="G23" s="235">
        <v>5.91E-2</v>
      </c>
      <c r="I23" s="226"/>
    </row>
    <row r="24" spans="2:9" ht="5.15" customHeight="1" thickBot="1">
      <c r="I24" s="226"/>
    </row>
    <row r="25" spans="2:9" ht="15.75" customHeight="1" thickBot="1">
      <c r="B25" s="436" t="s">
        <v>50</v>
      </c>
      <c r="C25" s="236" t="s">
        <v>18</v>
      </c>
      <c r="D25" s="230"/>
      <c r="E25" s="223" t="s">
        <v>17</v>
      </c>
      <c r="F25" s="230"/>
      <c r="G25" s="229"/>
      <c r="I25" s="12"/>
    </row>
    <row r="26" spans="2:9" ht="14.5" thickBot="1">
      <c r="B26" s="437"/>
      <c r="C26" s="236" t="s">
        <v>33</v>
      </c>
      <c r="D26" s="228"/>
      <c r="E26" s="223" t="s">
        <v>19</v>
      </c>
      <c r="F26" s="228"/>
      <c r="G26" s="237"/>
      <c r="I26" s="12"/>
    </row>
    <row r="27" spans="2:9" ht="14.5" thickBot="1">
      <c r="B27" s="437"/>
      <c r="C27" s="236" t="s">
        <v>20</v>
      </c>
      <c r="D27" s="228"/>
      <c r="E27" s="223" t="s">
        <v>21</v>
      </c>
      <c r="F27" s="228"/>
      <c r="G27" s="237"/>
      <c r="I27" s="12"/>
    </row>
    <row r="28" spans="2:9" ht="15.75" customHeight="1" thickBot="1">
      <c r="B28" s="437"/>
      <c r="C28" s="236" t="s">
        <v>22</v>
      </c>
      <c r="D28" s="228"/>
      <c r="E28" s="223" t="s">
        <v>23</v>
      </c>
      <c r="F28" s="228"/>
      <c r="G28" s="237"/>
      <c r="I28" s="12"/>
    </row>
    <row r="29" spans="2:9" ht="14.5" thickBot="1">
      <c r="B29" s="437"/>
      <c r="C29" s="228"/>
      <c r="D29" s="228"/>
      <c r="E29" s="228"/>
      <c r="F29" s="228"/>
      <c r="G29" s="232"/>
      <c r="I29" s="226"/>
    </row>
    <row r="30" spans="2:9" ht="14.5" thickBot="1">
      <c r="B30" s="438"/>
      <c r="C30" s="234" t="s">
        <v>14</v>
      </c>
      <c r="D30" s="234"/>
      <c r="E30" s="223" t="s">
        <v>24</v>
      </c>
      <c r="F30" s="234"/>
      <c r="G30" s="235">
        <v>5.91E-2</v>
      </c>
      <c r="I30" s="226"/>
    </row>
    <row r="31" spans="2:9" ht="5.15" customHeight="1" thickBot="1">
      <c r="B31" s="238"/>
      <c r="I31" s="226"/>
    </row>
    <row r="32" spans="2:9" ht="15.5" thickBot="1">
      <c r="C32" s="239" t="s">
        <v>57</v>
      </c>
      <c r="E32" s="237" t="s">
        <v>16</v>
      </c>
      <c r="G32" s="235">
        <f>IF(G14="No",0,IF(E32="WACC1",WACC1,IF(E32="WACC2",WACC2,"Error")))</f>
        <v>5.91E-2</v>
      </c>
      <c r="I32" s="226"/>
    </row>
    <row r="33" spans="2:9" ht="5.15" customHeight="1">
      <c r="B33" s="238"/>
      <c r="I33" s="226"/>
    </row>
    <row r="34" spans="2:9" ht="14.5" thickBot="1">
      <c r="B34" s="227" t="s">
        <v>25</v>
      </c>
      <c r="I34" s="226"/>
    </row>
    <row r="35" spans="2:9" ht="14.5" thickBot="1">
      <c r="C35" s="20" t="s">
        <v>51</v>
      </c>
      <c r="D35" s="228"/>
      <c r="E35" s="223" t="s">
        <v>26</v>
      </c>
      <c r="F35" s="228"/>
      <c r="G35" s="229">
        <v>1.8700000000000001E-2</v>
      </c>
      <c r="I35" s="12" t="s">
        <v>30</v>
      </c>
    </row>
    <row r="36" spans="2:9" ht="5.15" customHeight="1"/>
    <row r="37" spans="2:9" ht="14" thickBot="1">
      <c r="C37" s="20" t="s">
        <v>72</v>
      </c>
      <c r="D37" s="228"/>
      <c r="F37" s="228"/>
    </row>
    <row r="38" spans="2:9" ht="14.5" thickBot="1">
      <c r="C38" s="228"/>
      <c r="D38" s="228"/>
      <c r="E38" s="240">
        <f>YEAR</f>
        <v>2016</v>
      </c>
      <c r="F38" s="228"/>
      <c r="G38" s="241">
        <v>110.56</v>
      </c>
      <c r="I38" s="12" t="s">
        <v>52</v>
      </c>
    </row>
    <row r="39" spans="2:9" ht="14" thickBot="1">
      <c r="C39" s="228"/>
      <c r="D39" s="228"/>
      <c r="E39" s="240">
        <f>E38-1</f>
        <v>2015</v>
      </c>
      <c r="F39" s="228"/>
      <c r="G39" s="241"/>
    </row>
    <row r="40" spans="2:9" ht="14" thickBot="1">
      <c r="C40" s="228"/>
      <c r="D40" s="228"/>
      <c r="E40" s="240">
        <f t="shared" ref="E40:E44" si="0">E39-1</f>
        <v>2014</v>
      </c>
      <c r="F40" s="228"/>
      <c r="G40" s="241"/>
    </row>
    <row r="41" spans="2:9" ht="14" thickBot="1">
      <c r="C41" s="228"/>
      <c r="D41" s="228"/>
      <c r="E41" s="240">
        <f t="shared" si="0"/>
        <v>2013</v>
      </c>
      <c r="F41" s="228"/>
      <c r="G41" s="241"/>
    </row>
    <row r="42" spans="2:9" ht="14" thickBot="1">
      <c r="C42" s="228"/>
      <c r="D42" s="228"/>
      <c r="E42" s="240">
        <f t="shared" si="0"/>
        <v>2012</v>
      </c>
      <c r="F42" s="228"/>
      <c r="G42" s="241"/>
    </row>
    <row r="43" spans="2:9" ht="14" thickBot="1">
      <c r="C43" s="228"/>
      <c r="D43" s="228"/>
      <c r="E43" s="240">
        <f t="shared" si="0"/>
        <v>2011</v>
      </c>
      <c r="F43" s="228"/>
      <c r="G43" s="241">
        <v>100.77</v>
      </c>
    </row>
    <row r="44" spans="2:9" ht="14" thickBot="1">
      <c r="C44" s="228"/>
      <c r="D44" s="228"/>
      <c r="E44" s="240">
        <f t="shared" si="0"/>
        <v>2010</v>
      </c>
      <c r="F44" s="228"/>
      <c r="G44" s="241"/>
    </row>
    <row r="45" spans="2:9" ht="5.15" customHeight="1" thickBot="1">
      <c r="C45" s="234"/>
      <c r="D45" s="228"/>
      <c r="F45" s="228"/>
    </row>
    <row r="46" spans="2:9" ht="14.5" thickBot="1">
      <c r="C46" s="20" t="s">
        <v>27</v>
      </c>
      <c r="D46" s="228"/>
      <c r="E46" s="223" t="s">
        <v>44</v>
      </c>
      <c r="F46" s="228"/>
      <c r="G46" s="229">
        <v>2.5000000000000001E-2</v>
      </c>
      <c r="I46" s="12"/>
    </row>
    <row r="47" spans="2:9" ht="5.15" customHeight="1" thickBot="1"/>
    <row r="48" spans="2:9" ht="14.5" thickBot="1">
      <c r="B48" s="227"/>
      <c r="C48" s="20" t="s">
        <v>107</v>
      </c>
      <c r="D48" s="228"/>
      <c r="E48" s="223" t="s">
        <v>108</v>
      </c>
      <c r="F48" s="228"/>
      <c r="G48" s="229">
        <v>0</v>
      </c>
      <c r="I48" s="12"/>
    </row>
    <row r="49" spans="7:11" hidden="1">
      <c r="G49" s="225">
        <f>Chargeind</f>
        <v>0</v>
      </c>
    </row>
    <row r="50" spans="7:11" ht="5.15" hidden="1" customHeight="1">
      <c r="J50" s="228"/>
      <c r="K50" s="228"/>
    </row>
    <row r="51" spans="7:11" hidden="1">
      <c r="G51" s="225">
        <f>Chargeind</f>
        <v>0</v>
      </c>
    </row>
  </sheetData>
  <sheetProtection selectLockedCell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WACCOpt</formula1>
    </dataValidation>
    <dataValidation type="list" allowBlank="1" showInputMessage="1" showErrorMessage="1" sqref="G14" xr:uid="{00000000-0002-0000-0100-000001000000}">
      <formula1>DCFTRIGGER</formula1>
    </dataValidation>
  </dataValidations>
  <hyperlinks>
    <hyperlink ref="A3" location="'Navigation Pane'!A1" display="Return to Navigation Pane" xr:uid="{00000000-0004-0000-0100-000000000000}"/>
  </hyperlinks>
  <pageMargins left="0.25" right="0.25" top="0.75" bottom="0.75" header="0.3" footer="0.3"/>
  <pageSetup paperSize="8" orientation="landscape" r:id="rId1"/>
  <headerFooter>
    <oddFooter>&amp;C_x000D_&amp;1#&amp;"Arial"&amp;10&amp;KFF0000 SECURITY LABEL: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8" tint="0.39997558519241921"/>
    <pageSetUpPr fitToPage="1"/>
  </sheetPr>
  <dimension ref="A1:CO927"/>
  <sheetViews>
    <sheetView zoomScale="70" zoomScaleNormal="70" workbookViewId="0">
      <pane ySplit="12" topLeftCell="A13" activePane="bottomLeft" state="frozen"/>
      <selection activeCell="B6" sqref="B6"/>
      <selection pane="bottomLeft" activeCell="B2" sqref="B2:M2"/>
    </sheetView>
  </sheetViews>
  <sheetFormatPr defaultColWidth="9" defaultRowHeight="13.5"/>
  <cols>
    <col min="1" max="1" width="3.83203125" style="51" customWidth="1"/>
    <col min="2" max="2" width="42.83203125" style="1" customWidth="1"/>
    <col min="3" max="3" width="11" style="1" customWidth="1"/>
    <col min="4" max="4" width="14.83203125" style="1" customWidth="1"/>
    <col min="5" max="5" width="15.33203125" style="1" customWidth="1"/>
    <col min="6" max="6" width="81.08203125" style="1" customWidth="1"/>
    <col min="7" max="7" width="21.33203125" style="1" customWidth="1"/>
    <col min="8" max="8" width="17.33203125" style="72" customWidth="1"/>
    <col min="9" max="9" width="15.83203125" style="1" customWidth="1"/>
    <col min="10" max="10" width="21.33203125" style="1" customWidth="1"/>
    <col min="11" max="11" width="21.83203125" style="72" customWidth="1"/>
    <col min="12" max="12" width="10.5" style="1" customWidth="1"/>
    <col min="13" max="13" width="17.58203125" style="85" customWidth="1"/>
    <col min="14" max="14" width="16.33203125" style="1" customWidth="1"/>
    <col min="15" max="15" width="9.33203125" style="1" customWidth="1"/>
    <col min="16" max="16" width="26.83203125" style="85" customWidth="1"/>
    <col min="17" max="17" width="7.5" style="1" customWidth="1"/>
    <col min="18" max="19" width="5.5" style="1" customWidth="1"/>
    <col min="20" max="20" width="5.83203125" style="1" customWidth="1"/>
    <col min="21" max="21" width="5.5" style="1" customWidth="1"/>
    <col min="22" max="22" width="2" style="51" customWidth="1"/>
    <col min="23" max="24" width="8.83203125" style="91" customWidth="1"/>
    <col min="25" max="25" width="9.33203125" style="91" customWidth="1"/>
    <col min="26" max="26" width="8.83203125" style="91" customWidth="1"/>
    <col min="27" max="27" width="8.08203125" style="25" customWidth="1"/>
    <col min="28" max="28" width="14.08203125" style="21" customWidth="1"/>
    <col min="29" max="29" width="1.5" style="51" customWidth="1"/>
    <col min="30" max="30" width="15.5" style="72" customWidth="1"/>
    <col min="31" max="31" width="13.58203125" style="72" customWidth="1"/>
    <col min="32" max="32" width="16.08203125" style="72" customWidth="1"/>
    <col min="33" max="33" width="13.83203125" style="72" customWidth="1"/>
    <col min="34" max="34" width="19.58203125" style="1" customWidth="1"/>
    <col min="35" max="35" width="9" style="51" customWidth="1"/>
    <col min="36" max="93" width="9" style="51"/>
    <col min="94" max="16384" width="9" style="1"/>
  </cols>
  <sheetData>
    <row r="1" spans="1:93" s="380" customFormat="1" ht="33.75" customHeight="1" thickBot="1">
      <c r="A1" s="375"/>
      <c r="B1" s="441" t="str">
        <f>'Navigation Pane'!B2</f>
        <v>Brisbane City Council</v>
      </c>
      <c r="C1" s="441"/>
      <c r="D1" s="441"/>
      <c r="E1" s="441"/>
      <c r="F1" s="441"/>
      <c r="G1" s="441"/>
      <c r="H1" s="442"/>
      <c r="I1" s="441"/>
      <c r="J1" s="441"/>
      <c r="K1" s="442"/>
      <c r="L1" s="441"/>
      <c r="M1" s="441"/>
      <c r="N1" s="375"/>
      <c r="O1" s="375"/>
      <c r="P1" s="376"/>
      <c r="Q1" s="375"/>
      <c r="R1" s="375"/>
      <c r="S1" s="375"/>
      <c r="T1" s="375"/>
      <c r="U1" s="375"/>
      <c r="V1" s="375"/>
      <c r="W1" s="377"/>
      <c r="X1" s="377"/>
      <c r="Y1" s="377"/>
      <c r="Z1" s="377"/>
      <c r="AA1" s="377"/>
      <c r="AB1" s="378"/>
      <c r="AC1" s="375"/>
      <c r="AD1" s="379"/>
      <c r="AE1" s="379"/>
      <c r="AF1" s="379"/>
      <c r="AG1" s="379"/>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row>
    <row r="2" spans="1:93" s="380" customFormat="1" ht="36" customHeight="1" thickTop="1" thickBot="1">
      <c r="A2" s="375"/>
      <c r="B2" s="441" t="s">
        <v>138</v>
      </c>
      <c r="C2" s="441"/>
      <c r="D2" s="441"/>
      <c r="E2" s="441"/>
      <c r="F2" s="441"/>
      <c r="G2" s="441"/>
      <c r="H2" s="442"/>
      <c r="I2" s="441"/>
      <c r="J2" s="441"/>
      <c r="K2" s="442"/>
      <c r="L2" s="441"/>
      <c r="M2" s="441"/>
      <c r="N2" s="375"/>
      <c r="O2" s="375"/>
      <c r="P2" s="376"/>
      <c r="Q2" s="375"/>
      <c r="R2" s="375"/>
      <c r="S2" s="375"/>
      <c r="T2" s="375"/>
      <c r="U2" s="375"/>
      <c r="V2" s="375"/>
      <c r="W2" s="377"/>
      <c r="X2" s="377"/>
      <c r="Y2" s="377"/>
      <c r="Z2" s="377"/>
      <c r="AA2" s="377"/>
      <c r="AB2" s="378"/>
      <c r="AC2" s="375"/>
      <c r="AD2" s="379"/>
      <c r="AE2" s="379"/>
      <c r="AF2" s="379"/>
      <c r="AG2" s="379"/>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row>
    <row r="3" spans="1:93" s="50" customFormat="1" ht="29.5" customHeight="1" thickTop="1">
      <c r="A3" s="356" t="s">
        <v>109</v>
      </c>
      <c r="B3" s="293"/>
      <c r="C3" s="293"/>
      <c r="D3" s="293"/>
      <c r="E3" s="52"/>
      <c r="F3" s="52"/>
      <c r="G3" s="52"/>
      <c r="H3" s="291"/>
      <c r="I3" s="52"/>
      <c r="J3" s="52"/>
      <c r="K3" s="291"/>
      <c r="L3" s="52"/>
      <c r="M3" s="292"/>
      <c r="N3" s="52"/>
      <c r="O3" s="52"/>
      <c r="P3" s="292"/>
      <c r="Q3" s="52"/>
      <c r="R3" s="52"/>
      <c r="S3" s="52"/>
      <c r="T3" s="52"/>
      <c r="U3" s="52"/>
      <c r="V3" s="52"/>
      <c r="W3" s="288"/>
      <c r="X3" s="288"/>
      <c r="Y3" s="288"/>
      <c r="Z3" s="288"/>
      <c r="AA3" s="289"/>
      <c r="AB3" s="290"/>
      <c r="AC3" s="52"/>
      <c r="AD3" s="291"/>
      <c r="AE3" s="291"/>
      <c r="AF3" s="291"/>
      <c r="AG3" s="291"/>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row>
    <row r="4" spans="1:93" s="50" customFormat="1" ht="28.5" customHeight="1">
      <c r="A4" s="52"/>
      <c r="B4" s="455" t="s">
        <v>105</v>
      </c>
      <c r="C4" s="455"/>
      <c r="D4" s="455"/>
      <c r="E4" s="455"/>
      <c r="F4" s="455"/>
      <c r="G4" s="455"/>
      <c r="H4" s="456"/>
      <c r="I4" s="455"/>
      <c r="J4" s="455"/>
      <c r="K4" s="456"/>
      <c r="L4" s="455"/>
      <c r="M4" s="455"/>
      <c r="N4" s="52"/>
      <c r="O4" s="52"/>
      <c r="P4" s="292"/>
      <c r="Q4" s="52"/>
      <c r="R4" s="52"/>
      <c r="S4" s="52"/>
      <c r="T4" s="52"/>
      <c r="U4" s="52"/>
      <c r="V4" s="52"/>
      <c r="W4" s="288"/>
      <c r="X4" s="288"/>
      <c r="Y4" s="288"/>
      <c r="Z4" s="288"/>
      <c r="AA4" s="289"/>
      <c r="AB4" s="290"/>
      <c r="AC4" s="52"/>
      <c r="AD4" s="291"/>
      <c r="AE4" s="291"/>
      <c r="AF4" s="291"/>
      <c r="AG4" s="291"/>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row>
    <row r="5" spans="1:93" s="26" customFormat="1" ht="14" thickBot="1">
      <c r="A5" s="51"/>
      <c r="B5" s="51"/>
      <c r="C5" s="51"/>
      <c r="D5" s="51"/>
      <c r="E5" s="51"/>
      <c r="F5" s="51"/>
      <c r="G5" s="51"/>
      <c r="H5" s="71"/>
      <c r="I5" s="51"/>
      <c r="J5" s="51"/>
      <c r="K5" s="71"/>
      <c r="L5" s="51"/>
      <c r="M5" s="86"/>
      <c r="N5" s="51"/>
      <c r="O5" s="51"/>
      <c r="P5" s="86"/>
      <c r="Q5" s="51"/>
      <c r="R5" s="51"/>
      <c r="S5" s="51"/>
      <c r="T5" s="51"/>
      <c r="U5" s="51"/>
      <c r="V5" s="51"/>
      <c r="W5" s="92"/>
      <c r="X5" s="92"/>
      <c r="Y5" s="92"/>
      <c r="Z5" s="92"/>
      <c r="AA5" s="273"/>
      <c r="AB5" s="66"/>
      <c r="AC5" s="51"/>
      <c r="AD5" s="71"/>
      <c r="AE5" s="71"/>
      <c r="AF5" s="71"/>
      <c r="AG5" s="7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row>
    <row r="6" spans="1:93" s="26" customFormat="1" ht="21.75" customHeight="1" thickBot="1">
      <c r="A6" s="51"/>
      <c r="B6" s="443" t="s">
        <v>101</v>
      </c>
      <c r="C6" s="444"/>
      <c r="D6" s="357" t="s">
        <v>97</v>
      </c>
      <c r="E6" s="51"/>
      <c r="F6" s="51"/>
      <c r="G6" s="51"/>
      <c r="H6" s="71"/>
      <c r="I6" s="51"/>
      <c r="J6" s="51"/>
      <c r="K6" s="71"/>
      <c r="L6" s="51"/>
      <c r="M6" s="86"/>
      <c r="N6" s="51"/>
      <c r="O6" s="51"/>
      <c r="P6" s="86"/>
      <c r="Q6" s="51"/>
      <c r="R6" s="51"/>
      <c r="S6" s="51"/>
      <c r="T6" s="51"/>
      <c r="U6" s="51"/>
      <c r="V6" s="51"/>
      <c r="W6" s="92"/>
      <c r="X6" s="92"/>
      <c r="Y6" s="92"/>
      <c r="Z6" s="92"/>
      <c r="AA6" s="273"/>
      <c r="AB6" s="66"/>
      <c r="AC6" s="51"/>
      <c r="AD6" s="71"/>
      <c r="AE6" s="71"/>
      <c r="AF6" s="71"/>
      <c r="AG6" s="7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row>
    <row r="7" spans="1:93" s="26" customFormat="1" ht="14" thickBot="1">
      <c r="A7" s="51"/>
      <c r="B7" s="51"/>
      <c r="C7" s="51"/>
      <c r="D7" s="51"/>
      <c r="E7" s="51"/>
      <c r="F7" s="51"/>
      <c r="G7" s="51"/>
      <c r="H7" s="71"/>
      <c r="I7" s="51"/>
      <c r="J7" s="51"/>
      <c r="K7" s="71"/>
      <c r="L7" s="51"/>
      <c r="M7" s="86"/>
      <c r="N7" s="51"/>
      <c r="O7" s="51"/>
      <c r="P7" s="86"/>
      <c r="Q7" s="51"/>
      <c r="R7" s="51"/>
      <c r="S7" s="51"/>
      <c r="T7" s="51"/>
      <c r="U7" s="51"/>
      <c r="V7" s="51"/>
      <c r="W7" s="92"/>
      <c r="X7" s="92"/>
      <c r="Y7" s="92"/>
      <c r="Z7" s="92"/>
      <c r="AA7" s="273"/>
      <c r="AB7" s="66"/>
      <c r="AC7" s="51"/>
      <c r="AD7" s="71"/>
      <c r="AE7" s="71"/>
      <c r="AF7" s="71"/>
      <c r="AG7" s="7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row>
    <row r="8" spans="1:93" s="360" customFormat="1" ht="24" customHeight="1" thickBot="1">
      <c r="A8" s="358"/>
      <c r="B8" s="361"/>
      <c r="C8" s="362"/>
      <c r="D8" s="362"/>
      <c r="E8" s="362"/>
      <c r="F8" s="362"/>
      <c r="G8" s="362"/>
      <c r="H8" s="363" t="s">
        <v>41</v>
      </c>
      <c r="I8" s="362"/>
      <c r="J8" s="362"/>
      <c r="K8" s="363"/>
      <c r="L8" s="362"/>
      <c r="M8" s="364"/>
      <c r="N8" s="362"/>
      <c r="O8" s="362"/>
      <c r="P8" s="365"/>
      <c r="Q8" s="445" t="s">
        <v>112</v>
      </c>
      <c r="R8" s="446"/>
      <c r="S8" s="446"/>
      <c r="T8" s="446"/>
      <c r="U8" s="446"/>
      <c r="V8" s="359"/>
      <c r="W8" s="366"/>
      <c r="X8" s="367" t="s">
        <v>69</v>
      </c>
      <c r="Y8" s="366"/>
      <c r="Z8" s="366"/>
      <c r="AA8" s="367"/>
      <c r="AB8" s="368"/>
      <c r="AC8" s="358"/>
      <c r="AD8" s="369"/>
      <c r="AE8" s="370" t="s">
        <v>70</v>
      </c>
      <c r="AF8" s="370"/>
      <c r="AG8" s="370"/>
      <c r="AH8" s="371"/>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row>
    <row r="9" spans="1:93" s="360" customFormat="1" ht="21" customHeight="1" thickBot="1">
      <c r="A9" s="358"/>
      <c r="B9" s="447" t="s">
        <v>78</v>
      </c>
      <c r="C9" s="448"/>
      <c r="D9" s="448"/>
      <c r="E9" s="448"/>
      <c r="F9" s="448"/>
      <c r="G9" s="447" t="s">
        <v>81</v>
      </c>
      <c r="H9" s="449"/>
      <c r="I9" s="447" t="s">
        <v>79</v>
      </c>
      <c r="J9" s="448"/>
      <c r="K9" s="450"/>
      <c r="L9" s="451"/>
      <c r="M9" s="451"/>
      <c r="N9" s="447" t="s">
        <v>80</v>
      </c>
      <c r="O9" s="448"/>
      <c r="P9" s="452"/>
      <c r="Q9" s="453" t="s">
        <v>139</v>
      </c>
      <c r="R9" s="453" t="s">
        <v>140</v>
      </c>
      <c r="S9" s="453" t="s">
        <v>141</v>
      </c>
      <c r="T9" s="453" t="s">
        <v>142</v>
      </c>
      <c r="U9" s="453" t="s">
        <v>143</v>
      </c>
      <c r="V9" s="359"/>
      <c r="W9" s="457" t="str">
        <f>Q9</f>
        <v>Fringe</v>
      </c>
      <c r="X9" s="457" t="str">
        <f>R9</f>
        <v>Urban East</v>
      </c>
      <c r="Y9" s="457" t="str">
        <f>S9</f>
        <v>Urban North</v>
      </c>
      <c r="Z9" s="457" t="str">
        <f>T9</f>
        <v>Urban South</v>
      </c>
      <c r="AA9" s="463" t="str">
        <f>U9</f>
        <v>Urban West</v>
      </c>
      <c r="AB9" s="465" t="s">
        <v>48</v>
      </c>
      <c r="AC9" s="358"/>
      <c r="AD9" s="459" t="str">
        <f>Q9</f>
        <v>Fringe</v>
      </c>
      <c r="AE9" s="459" t="str">
        <f>R9</f>
        <v>Urban East</v>
      </c>
      <c r="AF9" s="459" t="str">
        <f>S9</f>
        <v>Urban North</v>
      </c>
      <c r="AG9" s="459" t="str">
        <f>T9</f>
        <v>Urban South</v>
      </c>
      <c r="AH9" s="461" t="str">
        <f>U9</f>
        <v>Urban West</v>
      </c>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row>
    <row r="10" spans="1:93" ht="112.5" customHeight="1" thickBot="1">
      <c r="B10" s="172" t="s">
        <v>35</v>
      </c>
      <c r="C10" s="173" t="s">
        <v>76</v>
      </c>
      <c r="D10" s="173" t="s">
        <v>40</v>
      </c>
      <c r="E10" s="173" t="s">
        <v>119</v>
      </c>
      <c r="F10" s="173" t="s">
        <v>36</v>
      </c>
      <c r="G10" s="177" t="s">
        <v>946</v>
      </c>
      <c r="H10" s="174" t="s">
        <v>945</v>
      </c>
      <c r="I10" s="175" t="s">
        <v>37</v>
      </c>
      <c r="J10" s="176" t="s">
        <v>38</v>
      </c>
      <c r="K10" s="178" t="s">
        <v>120</v>
      </c>
      <c r="L10" s="179" t="s">
        <v>100</v>
      </c>
      <c r="M10" s="256" t="s">
        <v>99</v>
      </c>
      <c r="N10" s="173" t="s">
        <v>39</v>
      </c>
      <c r="O10" s="173" t="s">
        <v>49</v>
      </c>
      <c r="P10" s="259" t="s">
        <v>106</v>
      </c>
      <c r="Q10" s="454" t="s">
        <v>139</v>
      </c>
      <c r="R10" s="454" t="s">
        <v>140</v>
      </c>
      <c r="S10" s="454" t="s">
        <v>141</v>
      </c>
      <c r="T10" s="454" t="s">
        <v>142</v>
      </c>
      <c r="U10" s="454" t="s">
        <v>143</v>
      </c>
      <c r="V10" s="63"/>
      <c r="W10" s="458"/>
      <c r="X10" s="458"/>
      <c r="Y10" s="458"/>
      <c r="Z10" s="458"/>
      <c r="AA10" s="464"/>
      <c r="AB10" s="466"/>
      <c r="AD10" s="460"/>
      <c r="AE10" s="460"/>
      <c r="AF10" s="460"/>
      <c r="AG10" s="460"/>
      <c r="AH10" s="462"/>
    </row>
    <row r="11" spans="1:93" ht="14" thickBot="1">
      <c r="B11" s="4"/>
      <c r="C11" s="4"/>
      <c r="D11" s="4"/>
      <c r="E11" s="4"/>
      <c r="F11" s="4"/>
      <c r="G11" s="4"/>
      <c r="H11" s="82"/>
      <c r="I11" s="22"/>
      <c r="J11" s="23"/>
      <c r="K11" s="81"/>
      <c r="L11" s="24"/>
      <c r="M11" s="257"/>
      <c r="N11" s="3"/>
      <c r="O11" s="4"/>
      <c r="P11" s="260"/>
      <c r="Q11" s="190">
        <v>1</v>
      </c>
      <c r="R11" s="191">
        <f>Q11+1</f>
        <v>2</v>
      </c>
      <c r="S11" s="191">
        <f t="shared" ref="S11:U11" si="0">R11+1</f>
        <v>3</v>
      </c>
      <c r="T11" s="191">
        <f t="shared" si="0"/>
        <v>4</v>
      </c>
      <c r="U11" s="191">
        <f t="shared" si="0"/>
        <v>5</v>
      </c>
      <c r="V11" s="63"/>
      <c r="W11" s="268"/>
      <c r="X11" s="269"/>
      <c r="Y11" s="269"/>
      <c r="Z11" s="269"/>
      <c r="AA11" s="270"/>
      <c r="AB11" s="64"/>
      <c r="AD11" s="69"/>
      <c r="AE11" s="70"/>
      <c r="AF11" s="69"/>
      <c r="AG11" s="69"/>
      <c r="AH11" s="19"/>
    </row>
    <row r="12" spans="1:93" s="2" customFormat="1" ht="43.4" customHeight="1" thickBot="1">
      <c r="A12" s="53"/>
      <c r="B12" s="180" t="s">
        <v>83</v>
      </c>
      <c r="C12" s="181" t="s">
        <v>77</v>
      </c>
      <c r="D12" s="181" t="s">
        <v>564</v>
      </c>
      <c r="E12" s="181"/>
      <c r="F12" s="181"/>
      <c r="G12" s="182"/>
      <c r="H12" s="183"/>
      <c r="I12" s="182"/>
      <c r="J12" s="181" t="s">
        <v>111</v>
      </c>
      <c r="K12" s="184"/>
      <c r="L12" s="185"/>
      <c r="M12" s="258"/>
      <c r="N12" s="182"/>
      <c r="O12" s="181"/>
      <c r="P12" s="261"/>
      <c r="Q12" s="192">
        <f t="shared" ref="Q12:U12" si="1">IFERROR(VLOOKUP(Q9,Parkscatch,6,FALSE),"")</f>
        <v>21425</v>
      </c>
      <c r="R12" s="193">
        <f t="shared" si="1"/>
        <v>306014</v>
      </c>
      <c r="S12" s="193">
        <f t="shared" si="1"/>
        <v>456561</v>
      </c>
      <c r="T12" s="193">
        <f t="shared" si="1"/>
        <v>459171</v>
      </c>
      <c r="U12" s="312">
        <f t="shared" si="1"/>
        <v>261614</v>
      </c>
      <c r="V12" s="308"/>
      <c r="W12" s="271"/>
      <c r="X12" s="271"/>
      <c r="Y12" s="271"/>
      <c r="Z12" s="271"/>
      <c r="AA12" s="271"/>
      <c r="AB12" s="65"/>
      <c r="AC12" s="53"/>
      <c r="AD12" s="187">
        <f>SUM(AD13:AD442)</f>
        <v>1261148.6019610667</v>
      </c>
      <c r="AE12" s="187">
        <f>SUM(AE13:AE442)</f>
        <v>25108337.221522268</v>
      </c>
      <c r="AF12" s="187">
        <f>SUM(AF13:AF442)</f>
        <v>29880573.405877955</v>
      </c>
      <c r="AG12" s="187">
        <f>SUM(AG13:AG442)</f>
        <v>28096236.403171379</v>
      </c>
      <c r="AH12" s="188">
        <f t="shared" ref="AH12" si="2">SUM(AH13:AH399)</f>
        <v>23564816.414409414</v>
      </c>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row>
    <row r="13" spans="1:93">
      <c r="B13" s="171" t="s">
        <v>144</v>
      </c>
      <c r="C13" s="149"/>
      <c r="D13" s="149" t="s">
        <v>116</v>
      </c>
      <c r="E13" s="149" t="s">
        <v>143</v>
      </c>
      <c r="F13" s="149" t="s">
        <v>566</v>
      </c>
      <c r="G13" s="146"/>
      <c r="H13" s="156"/>
      <c r="I13" s="135">
        <f>IFERROR((J13-G13)/H13,0)</f>
        <v>0</v>
      </c>
      <c r="J13" s="147"/>
      <c r="K13" s="155">
        <v>3755.9630817367001</v>
      </c>
      <c r="L13" s="88">
        <f>IFERROR(M13/K13,0)</f>
        <v>121.61225231979543</v>
      </c>
      <c r="M13" s="159">
        <v>456771.13</v>
      </c>
      <c r="N13" s="167">
        <v>2016</v>
      </c>
      <c r="O13" s="167">
        <f>IFERROR(('General Input Sheet'!$G$38/(VLOOKUP(N13,'General Input Sheet'!$E$38:$G$44,3,FALSE))),1)</f>
        <v>1</v>
      </c>
      <c r="P13" s="186">
        <f t="shared" ref="P13:P76" si="3">J13+M13</f>
        <v>456771.13</v>
      </c>
      <c r="Q13" s="89" t="str">
        <f>IF(OR(Q$9=$E13,$D13="Metropolitan",$D13="District"),"y","")</f>
        <v/>
      </c>
      <c r="R13" s="89" t="str">
        <f t="shared" ref="R13:U13" si="4">IF(OR(R$9=$E13,$D13="Metropolitan"),"y","")</f>
        <v/>
      </c>
      <c r="S13" s="89" t="str">
        <f t="shared" si="4"/>
        <v/>
      </c>
      <c r="T13" s="89" t="str">
        <f t="shared" si="4"/>
        <v/>
      </c>
      <c r="U13" s="254" t="str">
        <f t="shared" si="4"/>
        <v>y</v>
      </c>
      <c r="V13" s="308"/>
      <c r="W13" s="309" t="str" cm="1">
        <f t="array" ref="W13">_xlfn.IFS(AND(Q13="y",$D13="Local"), 1, AND(Q13="y",$D13&lt;&gt;"Local"),1.49009696454663%, Q13="","")</f>
        <v/>
      </c>
      <c r="X13" s="272" t="str" cm="1">
        <f t="array" ref="X13">_xlfn.IFS(AND(R13="y",$D13="Local"), 1, AND(R13="y",$D13&lt;&gt;"Local"),20.7557554582461%, R13="","")</f>
        <v/>
      </c>
      <c r="Y13" s="272" t="str" cm="1">
        <f t="array" ref="Y13">_xlfn.IFS(AND(S13="y",$D13="Local"), 1, AND(S13="y",$D13&lt;&gt;"Local"),30.3499104327336%, S13="","")</f>
        <v/>
      </c>
      <c r="Z13" s="272" t="str" cm="1">
        <f t="array" ref="Z13">_xlfn.IFS(AND(T13="y",$D13="Local"), 1, AND(T13="y",$D13&lt;&gt;"Local"),29.0043833288201%, T13="","")</f>
        <v/>
      </c>
      <c r="AA13" s="272" cm="1">
        <f t="array" ref="AA13">_xlfn.IFS(AND(U13="y",$D13="Local"), 1, AND(U13="y",$D13&lt;&gt;"Local"),18.3998538156536%, U13="","")</f>
        <v>1</v>
      </c>
      <c r="AB13" s="67">
        <f t="shared" ref="AB13:AB76" si="5">SUM(W13:AA13)</f>
        <v>1</v>
      </c>
      <c r="AD13" s="306" t="str">
        <f t="shared" ref="AD13:AD76" si="6">IF(W13="","",(W13/$AB13)*$P13)</f>
        <v/>
      </c>
      <c r="AE13" s="242" t="str">
        <f t="shared" ref="AE13:AE76" si="7">IF(X13="","",(X13/$AB13)*$P13)</f>
        <v/>
      </c>
      <c r="AF13" s="242" t="str">
        <f t="shared" ref="AF13:AF76" si="8">IF(Y13="","",(Y13/$AB13)*$P13)</f>
        <v/>
      </c>
      <c r="AG13" s="242" t="str">
        <f t="shared" ref="AG13:AG76" si="9">IF(Z13="","",(Z13/$AB13)*$P13)</f>
        <v/>
      </c>
      <c r="AH13" s="351">
        <f t="shared" ref="AH13:AH76" si="10">IF(AA13="","",(AA13/$AB13)*$P13)</f>
        <v>456771.13</v>
      </c>
    </row>
    <row r="14" spans="1:93">
      <c r="B14" s="166" t="s">
        <v>145</v>
      </c>
      <c r="C14" s="150"/>
      <c r="D14" s="150" t="s">
        <v>118</v>
      </c>
      <c r="E14" s="150" t="s">
        <v>142</v>
      </c>
      <c r="F14" s="150" t="s">
        <v>567</v>
      </c>
      <c r="G14" s="146"/>
      <c r="H14" s="155"/>
      <c r="I14" s="135">
        <f t="shared" ref="I14:I77" si="11">IFERROR((J14-G14)/H14,0)</f>
        <v>0</v>
      </c>
      <c r="J14" s="147"/>
      <c r="K14" s="155">
        <v>1953.75274429705</v>
      </c>
      <c r="L14" s="88">
        <f>IFERROR(M14/K14,0)</f>
        <v>124.49695628579406</v>
      </c>
      <c r="M14" s="160">
        <v>243236.27</v>
      </c>
      <c r="N14" s="167">
        <v>2016</v>
      </c>
      <c r="O14" s="167">
        <f>IFERROR(('General Input Sheet'!$G$38/(VLOOKUP(N14,'General Input Sheet'!$E$38:$G$44,3,FALSE))),1)</f>
        <v>1</v>
      </c>
      <c r="P14" s="186">
        <f t="shared" si="3"/>
        <v>243236.27</v>
      </c>
      <c r="Q14" s="89" t="str">
        <f t="shared" ref="Q14:U29" si="12">IF(OR(Q$9=$E14,$D14="Metropolitan",$D14="District"),"y","")</f>
        <v>y</v>
      </c>
      <c r="R14" s="89" t="str">
        <f t="shared" si="12"/>
        <v>y</v>
      </c>
      <c r="S14" s="89" t="str">
        <f t="shared" si="12"/>
        <v>y</v>
      </c>
      <c r="T14" s="89" t="str">
        <f t="shared" si="12"/>
        <v>y</v>
      </c>
      <c r="U14" s="254" t="str">
        <f t="shared" si="12"/>
        <v>y</v>
      </c>
      <c r="V14" s="308"/>
      <c r="W14" s="309" cm="1">
        <f t="array" ref="W14">_xlfn.IFS(AND(Q14="y",$D14="Local"), 1, AND(Q14="y",$D14&lt;&gt;"Local"),1.49009696454663%, Q14="","")</f>
        <v>1.49009696454663E-2</v>
      </c>
      <c r="X14" s="272" cm="1">
        <f t="array" ref="X14">_xlfn.IFS(AND(R14="y",$D14="Local"), 1, AND(R14="y",$D14&lt;&gt;"Local"),20.7557554582461%, R14="","")</f>
        <v>0.207557554582461</v>
      </c>
      <c r="Y14" s="272" cm="1">
        <f t="array" ref="Y14">_xlfn.IFS(AND(S14="y",$D14="Local"), 1, AND(S14="y",$D14&lt;&gt;"Local"),30.3499104327336%, S14="","")</f>
        <v>0.30349910432733601</v>
      </c>
      <c r="Z14" s="272" cm="1">
        <f t="array" ref="Z14">_xlfn.IFS(AND(T14="y",$D14="Local"), 1, AND(T14="y",$D14&lt;&gt;"Local"),29.0043833288201%, T14="","")</f>
        <v>0.29004383328820099</v>
      </c>
      <c r="AA14" s="272" cm="1">
        <f t="array" ref="AA14">_xlfn.IFS(AND(U14="y",$D14="Local"), 1, AND(U14="y",$D14&lt;&gt;"Local"),18.3998538156536%, U14="","")</f>
        <v>0.183998538156536</v>
      </c>
      <c r="AB14" s="68">
        <f t="shared" si="5"/>
        <v>1.0000000000000004</v>
      </c>
      <c r="AD14" s="306">
        <f t="shared" si="6"/>
        <v>3624.4562759464434</v>
      </c>
      <c r="AE14" s="242">
        <f t="shared" si="7"/>
        <v>50485.525386959198</v>
      </c>
      <c r="AF14" s="242">
        <f t="shared" si="8"/>
        <v>73821.990084922043</v>
      </c>
      <c r="AG14" s="242">
        <f t="shared" si="9"/>
        <v>70549.180145523816</v>
      </c>
      <c r="AH14" s="352">
        <f t="shared" si="10"/>
        <v>44755.118106648471</v>
      </c>
    </row>
    <row r="15" spans="1:93">
      <c r="B15" s="166" t="s">
        <v>146</v>
      </c>
      <c r="C15" s="150"/>
      <c r="D15" s="150" t="s">
        <v>118</v>
      </c>
      <c r="E15" s="150" t="s">
        <v>141</v>
      </c>
      <c r="F15" s="150" t="s">
        <v>568</v>
      </c>
      <c r="G15" s="146"/>
      <c r="H15" s="155"/>
      <c r="I15" s="135">
        <f t="shared" si="11"/>
        <v>0</v>
      </c>
      <c r="J15" s="147"/>
      <c r="K15" s="155">
        <v>721.59588742660605</v>
      </c>
      <c r="L15" s="88">
        <f t="shared" ref="L15:L78" si="13">IFERROR(M15/K15,0)</f>
        <v>445.67881497621494</v>
      </c>
      <c r="M15" s="160">
        <v>321600</v>
      </c>
      <c r="N15" s="167">
        <v>2016</v>
      </c>
      <c r="O15" s="167">
        <f>IFERROR(('General Input Sheet'!$G$38/(VLOOKUP(N15,'General Input Sheet'!$E$38:$G$44,3,FALSE))),1)</f>
        <v>1</v>
      </c>
      <c r="P15" s="186">
        <f t="shared" si="3"/>
        <v>321600</v>
      </c>
      <c r="Q15" s="89" t="str">
        <f t="shared" si="12"/>
        <v>y</v>
      </c>
      <c r="R15" s="89" t="str">
        <f t="shared" si="12"/>
        <v>y</v>
      </c>
      <c r="S15" s="89" t="str">
        <f t="shared" si="12"/>
        <v>y</v>
      </c>
      <c r="T15" s="89" t="str">
        <f t="shared" si="12"/>
        <v>y</v>
      </c>
      <c r="U15" s="254" t="str">
        <f t="shared" si="12"/>
        <v>y</v>
      </c>
      <c r="V15" s="308"/>
      <c r="W15" s="309" cm="1">
        <f t="array" ref="W15">_xlfn.IFS(AND(Q15="y",$D15="Local"), 1, AND(Q15="y",$D15&lt;&gt;"Local"),1.49009696454663%, Q15="","")</f>
        <v>1.49009696454663E-2</v>
      </c>
      <c r="X15" s="272" cm="1">
        <f t="array" ref="X15">_xlfn.IFS(AND(R15="y",$D15="Local"), 1, AND(R15="y",$D15&lt;&gt;"Local"),20.7557554582461%, R15="","")</f>
        <v>0.207557554582461</v>
      </c>
      <c r="Y15" s="272" cm="1">
        <f t="array" ref="Y15">_xlfn.IFS(AND(S15="y",$D15="Local"), 1, AND(S15="y",$D15&lt;&gt;"Local"),30.3499104327336%, S15="","")</f>
        <v>0.30349910432733601</v>
      </c>
      <c r="Z15" s="272" cm="1">
        <f t="array" ref="Z15">_xlfn.IFS(AND(T15="y",$D15="Local"), 1, AND(T15="y",$D15&lt;&gt;"Local"),29.0043833288201%, T15="","")</f>
        <v>0.29004383328820099</v>
      </c>
      <c r="AA15" s="272" cm="1">
        <f t="array" ref="AA15">_xlfn.IFS(AND(U15="y",$D15="Local"), 1, AND(U15="y",$D15&lt;&gt;"Local"),18.3998538156536%, U15="","")</f>
        <v>0.183998538156536</v>
      </c>
      <c r="AB15" s="68">
        <f t="shared" si="5"/>
        <v>1.0000000000000004</v>
      </c>
      <c r="AD15" s="306">
        <f t="shared" si="6"/>
        <v>4792.1518379819599</v>
      </c>
      <c r="AE15" s="242">
        <f t="shared" si="7"/>
        <v>66750.509553719428</v>
      </c>
      <c r="AF15" s="242">
        <f t="shared" si="8"/>
        <v>97605.311951671232</v>
      </c>
      <c r="AG15" s="242">
        <f t="shared" si="9"/>
        <v>93278.09678548541</v>
      </c>
      <c r="AH15" s="352">
        <f t="shared" si="10"/>
        <v>59173.929871141947</v>
      </c>
    </row>
    <row r="16" spans="1:93">
      <c r="B16" s="166" t="s">
        <v>147</v>
      </c>
      <c r="C16" s="150"/>
      <c r="D16" s="150" t="s">
        <v>118</v>
      </c>
      <c r="E16" s="150" t="s">
        <v>141</v>
      </c>
      <c r="F16" s="150" t="s">
        <v>569</v>
      </c>
      <c r="G16" s="146"/>
      <c r="H16" s="155"/>
      <c r="I16" s="135">
        <f t="shared" si="11"/>
        <v>0</v>
      </c>
      <c r="J16" s="147"/>
      <c r="K16" s="155">
        <v>1399.838325105</v>
      </c>
      <c r="L16" s="88">
        <f t="shared" si="13"/>
        <v>149.04435480743845</v>
      </c>
      <c r="M16" s="160">
        <v>208638</v>
      </c>
      <c r="N16" s="167">
        <v>2016</v>
      </c>
      <c r="O16" s="167">
        <f>IFERROR(('General Input Sheet'!$G$38/(VLOOKUP(N16,'General Input Sheet'!$E$38:$G$44,3,FALSE))),1)</f>
        <v>1</v>
      </c>
      <c r="P16" s="186">
        <f t="shared" si="3"/>
        <v>208638</v>
      </c>
      <c r="Q16" s="89" t="str">
        <f t="shared" si="12"/>
        <v>y</v>
      </c>
      <c r="R16" s="89" t="str">
        <f t="shared" si="12"/>
        <v>y</v>
      </c>
      <c r="S16" s="89" t="str">
        <f t="shared" si="12"/>
        <v>y</v>
      </c>
      <c r="T16" s="89" t="str">
        <f t="shared" si="12"/>
        <v>y</v>
      </c>
      <c r="U16" s="254" t="str">
        <f t="shared" si="12"/>
        <v>y</v>
      </c>
      <c r="V16" s="308"/>
      <c r="W16" s="309" cm="1">
        <f t="array" ref="W16">_xlfn.IFS(AND(Q16="y",$D16="Local"), 1, AND(Q16="y",$D16&lt;&gt;"Local"),1.49009696454663%, Q16="","")</f>
        <v>1.49009696454663E-2</v>
      </c>
      <c r="X16" s="272" cm="1">
        <f t="array" ref="X16">_xlfn.IFS(AND(R16="y",$D16="Local"), 1, AND(R16="y",$D16&lt;&gt;"Local"),20.7557554582461%, R16="","")</f>
        <v>0.207557554582461</v>
      </c>
      <c r="Y16" s="272" cm="1">
        <f t="array" ref="Y16">_xlfn.IFS(AND(S16="y",$D16="Local"), 1, AND(S16="y",$D16&lt;&gt;"Local"),30.3499104327336%, S16="","")</f>
        <v>0.30349910432733601</v>
      </c>
      <c r="Z16" s="272" cm="1">
        <f t="array" ref="Z16">_xlfn.IFS(AND(T16="y",$D16="Local"), 1, AND(T16="y",$D16&lt;&gt;"Local"),29.0043833288201%, T16="","")</f>
        <v>0.29004383328820099</v>
      </c>
      <c r="AA16" s="272" cm="1">
        <f t="array" ref="AA16">_xlfn.IFS(AND(U16="y",$D16="Local"), 1, AND(U16="y",$D16&lt;&gt;"Local"),18.3998538156536%, U16="","")</f>
        <v>0.183998538156536</v>
      </c>
      <c r="AB16" s="68">
        <f t="shared" si="5"/>
        <v>1.0000000000000004</v>
      </c>
      <c r="AD16" s="306">
        <f t="shared" si="6"/>
        <v>3108.9085048907964</v>
      </c>
      <c r="AE16" s="242">
        <f t="shared" si="7"/>
        <v>43304.393072975479</v>
      </c>
      <c r="AF16" s="242">
        <f t="shared" si="8"/>
        <v>63321.446128646705</v>
      </c>
      <c r="AG16" s="242">
        <f t="shared" si="9"/>
        <v>60514.165289583652</v>
      </c>
      <c r="AH16" s="352">
        <f t="shared" si="10"/>
        <v>38389.08700390334</v>
      </c>
    </row>
    <row r="17" spans="2:34">
      <c r="B17" s="166" t="s">
        <v>148</v>
      </c>
      <c r="C17" s="150"/>
      <c r="D17" s="150" t="s">
        <v>118</v>
      </c>
      <c r="E17" s="150" t="s">
        <v>142</v>
      </c>
      <c r="F17" s="150" t="s">
        <v>570</v>
      </c>
      <c r="G17" s="146"/>
      <c r="H17" s="155"/>
      <c r="I17" s="135">
        <f t="shared" si="11"/>
        <v>0</v>
      </c>
      <c r="J17" s="147"/>
      <c r="K17" s="155">
        <v>2201.1040986159501</v>
      </c>
      <c r="L17" s="88">
        <f t="shared" si="13"/>
        <v>97.519890192822956</v>
      </c>
      <c r="M17" s="160">
        <v>214651.43</v>
      </c>
      <c r="N17" s="167">
        <v>2016</v>
      </c>
      <c r="O17" s="167">
        <f>IFERROR(('General Input Sheet'!$G$38/(VLOOKUP(N17,'General Input Sheet'!$E$38:$G$44,3,FALSE))),1)</f>
        <v>1</v>
      </c>
      <c r="P17" s="186">
        <f t="shared" si="3"/>
        <v>214651.43</v>
      </c>
      <c r="Q17" s="89" t="str">
        <f t="shared" si="12"/>
        <v>y</v>
      </c>
      <c r="R17" s="89" t="str">
        <f t="shared" si="12"/>
        <v>y</v>
      </c>
      <c r="S17" s="89" t="str">
        <f t="shared" si="12"/>
        <v>y</v>
      </c>
      <c r="T17" s="89" t="str">
        <f t="shared" si="12"/>
        <v>y</v>
      </c>
      <c r="U17" s="254" t="str">
        <f t="shared" si="12"/>
        <v>y</v>
      </c>
      <c r="V17" s="308"/>
      <c r="W17" s="309" cm="1">
        <f t="array" ref="W17">_xlfn.IFS(AND(Q17="y",$D17="Local"), 1, AND(Q17="y",$D17&lt;&gt;"Local"),1.49009696454663%, Q17="","")</f>
        <v>1.49009696454663E-2</v>
      </c>
      <c r="X17" s="272" cm="1">
        <f t="array" ref="X17">_xlfn.IFS(AND(R17="y",$D17="Local"), 1, AND(R17="y",$D17&lt;&gt;"Local"),20.7557554582461%, R17="","")</f>
        <v>0.207557554582461</v>
      </c>
      <c r="Y17" s="272" cm="1">
        <f t="array" ref="Y17">_xlfn.IFS(AND(S17="y",$D17="Local"), 1, AND(S17="y",$D17&lt;&gt;"Local"),30.3499104327336%, S17="","")</f>
        <v>0.30349910432733601</v>
      </c>
      <c r="Z17" s="272" cm="1">
        <f t="array" ref="Z17">_xlfn.IFS(AND(T17="y",$D17="Local"), 1, AND(T17="y",$D17&lt;&gt;"Local"),29.0043833288201%, T17="","")</f>
        <v>0.29004383328820099</v>
      </c>
      <c r="AA17" s="272" cm="1">
        <f t="array" ref="AA17">_xlfn.IFS(AND(U17="y",$D17="Local"), 1, AND(U17="y",$D17&lt;&gt;"Local"),18.3998538156536%, U17="","")</f>
        <v>0.183998538156536</v>
      </c>
      <c r="AB17" s="68">
        <f t="shared" si="5"/>
        <v>1.0000000000000004</v>
      </c>
      <c r="AD17" s="306">
        <f t="shared" si="6"/>
        <v>3198.5144427859327</v>
      </c>
      <c r="AE17" s="242">
        <f t="shared" si="7"/>
        <v>44552.525898428285</v>
      </c>
      <c r="AF17" s="242">
        <f t="shared" si="8"/>
        <v>65146.516747581838</v>
      </c>
      <c r="AG17" s="242">
        <f t="shared" si="9"/>
        <v>62258.32357799392</v>
      </c>
      <c r="AH17" s="352">
        <f t="shared" si="10"/>
        <v>39495.549333209994</v>
      </c>
    </row>
    <row r="18" spans="2:34">
      <c r="B18" s="166" t="s">
        <v>149</v>
      </c>
      <c r="C18" s="150"/>
      <c r="D18" s="150" t="s">
        <v>116</v>
      </c>
      <c r="E18" s="150" t="s">
        <v>143</v>
      </c>
      <c r="F18" s="150" t="s">
        <v>571</v>
      </c>
      <c r="G18" s="146"/>
      <c r="H18" s="155"/>
      <c r="I18" s="135">
        <f t="shared" si="11"/>
        <v>0</v>
      </c>
      <c r="J18" s="147"/>
      <c r="K18" s="155">
        <v>569.27405961917998</v>
      </c>
      <c r="L18" s="88">
        <f t="shared" si="13"/>
        <v>183.79001858962434</v>
      </c>
      <c r="M18" s="160">
        <v>104626.89</v>
      </c>
      <c r="N18" s="167">
        <v>2016</v>
      </c>
      <c r="O18" s="167">
        <f>IFERROR(('General Input Sheet'!$G$38/(VLOOKUP(N18,'General Input Sheet'!$E$38:$G$44,3,FALSE))),1)</f>
        <v>1</v>
      </c>
      <c r="P18" s="186">
        <f t="shared" si="3"/>
        <v>104626.89</v>
      </c>
      <c r="Q18" s="89" t="str">
        <f t="shared" si="12"/>
        <v/>
      </c>
      <c r="R18" s="89" t="str">
        <f t="shared" si="12"/>
        <v/>
      </c>
      <c r="S18" s="89" t="str">
        <f t="shared" si="12"/>
        <v/>
      </c>
      <c r="T18" s="89" t="str">
        <f t="shared" si="12"/>
        <v/>
      </c>
      <c r="U18" s="254" t="str">
        <f t="shared" si="12"/>
        <v>y</v>
      </c>
      <c r="V18" s="308"/>
      <c r="W18" s="309" t="str" cm="1">
        <f t="array" ref="W18">_xlfn.IFS(AND(Q18="y",$D18="Local"), 1, AND(Q18="y",$D18&lt;&gt;"Local"),1.49009696454663%, Q18="","")</f>
        <v/>
      </c>
      <c r="X18" s="272" t="str" cm="1">
        <f t="array" ref="X18">_xlfn.IFS(AND(R18="y",$D18="Local"), 1, AND(R18="y",$D18&lt;&gt;"Local"),20.7557554582461%, R18="","")</f>
        <v/>
      </c>
      <c r="Y18" s="272" t="str" cm="1">
        <f t="array" ref="Y18">_xlfn.IFS(AND(S18="y",$D18="Local"), 1, AND(S18="y",$D18&lt;&gt;"Local"),30.3499104327336%, S18="","")</f>
        <v/>
      </c>
      <c r="Z18" s="272" t="str" cm="1">
        <f t="array" ref="Z18">_xlfn.IFS(AND(T18="y",$D18="Local"), 1, AND(T18="y",$D18&lt;&gt;"Local"),29.0043833288201%, T18="","")</f>
        <v/>
      </c>
      <c r="AA18" s="272" cm="1">
        <f t="array" ref="AA18">_xlfn.IFS(AND(U18="y",$D18="Local"), 1, AND(U18="y",$D18&lt;&gt;"Local"),18.3998538156536%, U18="","")</f>
        <v>1</v>
      </c>
      <c r="AB18" s="68">
        <f t="shared" si="5"/>
        <v>1</v>
      </c>
      <c r="AD18" s="306" t="str">
        <f t="shared" si="6"/>
        <v/>
      </c>
      <c r="AE18" s="242" t="str">
        <f t="shared" si="7"/>
        <v/>
      </c>
      <c r="AF18" s="242" t="str">
        <f t="shared" si="8"/>
        <v/>
      </c>
      <c r="AG18" s="242" t="str">
        <f t="shared" si="9"/>
        <v/>
      </c>
      <c r="AH18" s="352">
        <f t="shared" si="10"/>
        <v>104626.89</v>
      </c>
    </row>
    <row r="19" spans="2:34">
      <c r="B19" s="166" t="s">
        <v>150</v>
      </c>
      <c r="C19" s="150"/>
      <c r="D19" s="150" t="s">
        <v>116</v>
      </c>
      <c r="E19" s="150" t="s">
        <v>143</v>
      </c>
      <c r="F19" s="150" t="s">
        <v>572</v>
      </c>
      <c r="G19" s="146"/>
      <c r="H19" s="155"/>
      <c r="I19" s="135">
        <f t="shared" si="11"/>
        <v>0</v>
      </c>
      <c r="J19" s="147"/>
      <c r="K19" s="155">
        <v>853.98306125330396</v>
      </c>
      <c r="L19" s="88">
        <f t="shared" si="13"/>
        <v>200.0625161689517</v>
      </c>
      <c r="M19" s="160">
        <v>170850</v>
      </c>
      <c r="N19" s="167">
        <v>2016</v>
      </c>
      <c r="O19" s="167">
        <f>IFERROR(('General Input Sheet'!$G$38/(VLOOKUP(N19,'General Input Sheet'!$E$38:$G$44,3,FALSE))),1)</f>
        <v>1</v>
      </c>
      <c r="P19" s="186">
        <f t="shared" si="3"/>
        <v>170850</v>
      </c>
      <c r="Q19" s="89" t="str">
        <f t="shared" si="12"/>
        <v/>
      </c>
      <c r="R19" s="89" t="str">
        <f t="shared" si="12"/>
        <v/>
      </c>
      <c r="S19" s="89" t="str">
        <f t="shared" si="12"/>
        <v/>
      </c>
      <c r="T19" s="89" t="str">
        <f t="shared" si="12"/>
        <v/>
      </c>
      <c r="U19" s="254" t="str">
        <f t="shared" si="12"/>
        <v>y</v>
      </c>
      <c r="V19" s="308"/>
      <c r="W19" s="309" t="str" cm="1">
        <f t="array" ref="W19">_xlfn.IFS(AND(Q19="y",$D19="Local"), 1, AND(Q19="y",$D19&lt;&gt;"Local"),1.49009696454663%, Q19="","")</f>
        <v/>
      </c>
      <c r="X19" s="272" t="str" cm="1">
        <f t="array" ref="X19">_xlfn.IFS(AND(R19="y",$D19="Local"), 1, AND(R19="y",$D19&lt;&gt;"Local"),20.7557554582461%, R19="","")</f>
        <v/>
      </c>
      <c r="Y19" s="272" t="str" cm="1">
        <f t="array" ref="Y19">_xlfn.IFS(AND(S19="y",$D19="Local"), 1, AND(S19="y",$D19&lt;&gt;"Local"),30.3499104327336%, S19="","")</f>
        <v/>
      </c>
      <c r="Z19" s="272" t="str" cm="1">
        <f t="array" ref="Z19">_xlfn.IFS(AND(T19="y",$D19="Local"), 1, AND(T19="y",$D19&lt;&gt;"Local"),29.0043833288201%, T19="","")</f>
        <v/>
      </c>
      <c r="AA19" s="272" cm="1">
        <f t="array" ref="AA19">_xlfn.IFS(AND(U19="y",$D19="Local"), 1, AND(U19="y",$D19&lt;&gt;"Local"),18.3998538156536%, U19="","")</f>
        <v>1</v>
      </c>
      <c r="AB19" s="68">
        <f t="shared" si="5"/>
        <v>1</v>
      </c>
      <c r="AD19" s="306" t="str">
        <f t="shared" si="6"/>
        <v/>
      </c>
      <c r="AE19" s="242" t="str">
        <f t="shared" si="7"/>
        <v/>
      </c>
      <c r="AF19" s="242" t="str">
        <f t="shared" si="8"/>
        <v/>
      </c>
      <c r="AG19" s="242" t="str">
        <f t="shared" si="9"/>
        <v/>
      </c>
      <c r="AH19" s="352">
        <f t="shared" si="10"/>
        <v>170850</v>
      </c>
    </row>
    <row r="20" spans="2:34">
      <c r="B20" s="166" t="s">
        <v>151</v>
      </c>
      <c r="C20" s="150"/>
      <c r="D20" s="150" t="s">
        <v>118</v>
      </c>
      <c r="E20" s="150" t="s">
        <v>143</v>
      </c>
      <c r="F20" s="150" t="s">
        <v>573</v>
      </c>
      <c r="G20" s="146"/>
      <c r="H20" s="155"/>
      <c r="I20" s="135">
        <f t="shared" si="11"/>
        <v>0</v>
      </c>
      <c r="J20" s="147"/>
      <c r="K20" s="155">
        <v>961.22332958138702</v>
      </c>
      <c r="L20" s="88">
        <f t="shared" si="13"/>
        <v>31.85531297220496</v>
      </c>
      <c r="M20" s="160">
        <v>30620.07</v>
      </c>
      <c r="N20" s="167">
        <v>2016</v>
      </c>
      <c r="O20" s="167">
        <f>IFERROR(('General Input Sheet'!$G$38/(VLOOKUP(N20,'General Input Sheet'!$E$38:$G$44,3,FALSE))),1)</f>
        <v>1</v>
      </c>
      <c r="P20" s="186">
        <f t="shared" si="3"/>
        <v>30620.07</v>
      </c>
      <c r="Q20" s="89" t="str">
        <f t="shared" si="12"/>
        <v>y</v>
      </c>
      <c r="R20" s="89" t="str">
        <f t="shared" si="12"/>
        <v>y</v>
      </c>
      <c r="S20" s="89" t="str">
        <f t="shared" si="12"/>
        <v>y</v>
      </c>
      <c r="T20" s="89" t="str">
        <f t="shared" si="12"/>
        <v>y</v>
      </c>
      <c r="U20" s="254" t="str">
        <f t="shared" si="12"/>
        <v>y</v>
      </c>
      <c r="V20" s="308"/>
      <c r="W20" s="309" cm="1">
        <f t="array" ref="W20">_xlfn.IFS(AND(Q20="y",$D20="Local"), 1, AND(Q20="y",$D20&lt;&gt;"Local"),1.49009696454663%, Q20="","")</f>
        <v>1.49009696454663E-2</v>
      </c>
      <c r="X20" s="272" cm="1">
        <f t="array" ref="X20">_xlfn.IFS(AND(R20="y",$D20="Local"), 1, AND(R20="y",$D20&lt;&gt;"Local"),20.7557554582461%, R20="","")</f>
        <v>0.207557554582461</v>
      </c>
      <c r="Y20" s="272" cm="1">
        <f t="array" ref="Y20">_xlfn.IFS(AND(S20="y",$D20="Local"), 1, AND(S20="y",$D20&lt;&gt;"Local"),30.3499104327336%, S20="","")</f>
        <v>0.30349910432733601</v>
      </c>
      <c r="Z20" s="272" cm="1">
        <f t="array" ref="Z20">_xlfn.IFS(AND(T20="y",$D20="Local"), 1, AND(T20="y",$D20&lt;&gt;"Local"),29.0043833288201%, T20="","")</f>
        <v>0.29004383328820099</v>
      </c>
      <c r="AA20" s="272" cm="1">
        <f t="array" ref="AA20">_xlfn.IFS(AND(U20="y",$D20="Local"), 1, AND(U20="y",$D20&lt;&gt;"Local"),18.3998538156536%, U20="","")</f>
        <v>0.183998538156536</v>
      </c>
      <c r="AB20" s="68">
        <f t="shared" si="5"/>
        <v>1.0000000000000004</v>
      </c>
      <c r="AD20" s="306">
        <f t="shared" si="6"/>
        <v>456.2687336120531</v>
      </c>
      <c r="AE20" s="242">
        <f t="shared" si="7"/>
        <v>6355.4268503437743</v>
      </c>
      <c r="AF20" s="242">
        <f t="shared" si="8"/>
        <v>9293.1638194403276</v>
      </c>
      <c r="AG20" s="242">
        <f t="shared" si="9"/>
        <v>8881.1624783530406</v>
      </c>
      <c r="AH20" s="352">
        <f t="shared" si="10"/>
        <v>5634.0481182508001</v>
      </c>
    </row>
    <row r="21" spans="2:34">
      <c r="B21" s="166" t="s">
        <v>152</v>
      </c>
      <c r="C21" s="150"/>
      <c r="D21" s="150" t="s">
        <v>116</v>
      </c>
      <c r="E21" s="150" t="s">
        <v>142</v>
      </c>
      <c r="F21" s="150" t="s">
        <v>574</v>
      </c>
      <c r="G21" s="146"/>
      <c r="H21" s="155"/>
      <c r="I21" s="135">
        <f t="shared" si="11"/>
        <v>0</v>
      </c>
      <c r="J21" s="147"/>
      <c r="K21" s="155">
        <v>207.35985934188901</v>
      </c>
      <c r="L21" s="88">
        <f t="shared" si="13"/>
        <v>82.392995704297519</v>
      </c>
      <c r="M21" s="160">
        <v>17085</v>
      </c>
      <c r="N21" s="167">
        <v>2016</v>
      </c>
      <c r="O21" s="167">
        <f>IFERROR(('General Input Sheet'!$G$38/(VLOOKUP(N21,'General Input Sheet'!$E$38:$G$44,3,FALSE))),1)</f>
        <v>1</v>
      </c>
      <c r="P21" s="186">
        <f t="shared" si="3"/>
        <v>17085</v>
      </c>
      <c r="Q21" s="89" t="str">
        <f t="shared" si="12"/>
        <v/>
      </c>
      <c r="R21" s="89" t="str">
        <f t="shared" si="12"/>
        <v/>
      </c>
      <c r="S21" s="89" t="str">
        <f t="shared" si="12"/>
        <v/>
      </c>
      <c r="T21" s="89" t="str">
        <f t="shared" si="12"/>
        <v>y</v>
      </c>
      <c r="U21" s="254" t="str">
        <f t="shared" si="12"/>
        <v/>
      </c>
      <c r="V21" s="308"/>
      <c r="W21" s="309" t="str" cm="1">
        <f t="array" ref="W21">_xlfn.IFS(AND(Q21="y",$D21="Local"), 1, AND(Q21="y",$D21&lt;&gt;"Local"),1.49009696454663%, Q21="","")</f>
        <v/>
      </c>
      <c r="X21" s="272" t="str" cm="1">
        <f t="array" ref="X21">_xlfn.IFS(AND(R21="y",$D21="Local"), 1, AND(R21="y",$D21&lt;&gt;"Local"),20.7557554582461%, R21="","")</f>
        <v/>
      </c>
      <c r="Y21" s="272" t="str" cm="1">
        <f t="array" ref="Y21">_xlfn.IFS(AND(S21="y",$D21="Local"), 1, AND(S21="y",$D21&lt;&gt;"Local"),30.3499104327336%, S21="","")</f>
        <v/>
      </c>
      <c r="Z21" s="272" cm="1">
        <f t="array" ref="Z21">_xlfn.IFS(AND(T21="y",$D21="Local"), 1, AND(T21="y",$D21&lt;&gt;"Local"),29.0043833288201%, T21="","")</f>
        <v>1</v>
      </c>
      <c r="AA21" s="272" t="str" cm="1">
        <f t="array" ref="AA21">_xlfn.IFS(AND(U21="y",$D21="Local"), 1, AND(U21="y",$D21&lt;&gt;"Local"),18.3998538156536%, U21="","")</f>
        <v/>
      </c>
      <c r="AB21" s="68">
        <f t="shared" si="5"/>
        <v>1</v>
      </c>
      <c r="AD21" s="306" t="str">
        <f t="shared" si="6"/>
        <v/>
      </c>
      <c r="AE21" s="242" t="str">
        <f t="shared" si="7"/>
        <v/>
      </c>
      <c r="AF21" s="242" t="str">
        <f t="shared" si="8"/>
        <v/>
      </c>
      <c r="AG21" s="242">
        <f t="shared" si="9"/>
        <v>17085</v>
      </c>
      <c r="AH21" s="352" t="str">
        <f t="shared" si="10"/>
        <v/>
      </c>
    </row>
    <row r="22" spans="2:34">
      <c r="B22" s="166" t="s">
        <v>153</v>
      </c>
      <c r="C22" s="150"/>
      <c r="D22" s="150" t="s">
        <v>116</v>
      </c>
      <c r="E22" s="150" t="s">
        <v>142</v>
      </c>
      <c r="F22" s="150" t="s">
        <v>575</v>
      </c>
      <c r="G22" s="146"/>
      <c r="H22" s="155"/>
      <c r="I22" s="135">
        <f t="shared" si="11"/>
        <v>0</v>
      </c>
      <c r="J22" s="147"/>
      <c r="K22" s="155">
        <v>4753.1897744450098</v>
      </c>
      <c r="L22" s="88">
        <f t="shared" si="13"/>
        <v>71.481804035411514</v>
      </c>
      <c r="M22" s="160">
        <v>339766.58</v>
      </c>
      <c r="N22" s="167">
        <v>2016</v>
      </c>
      <c r="O22" s="167">
        <f>IFERROR(('General Input Sheet'!$G$38/(VLOOKUP(N22,'General Input Sheet'!$E$38:$G$44,3,FALSE))),1)</f>
        <v>1</v>
      </c>
      <c r="P22" s="186">
        <f t="shared" si="3"/>
        <v>339766.58</v>
      </c>
      <c r="Q22" s="89" t="str">
        <f t="shared" si="12"/>
        <v/>
      </c>
      <c r="R22" s="89" t="str">
        <f t="shared" si="12"/>
        <v/>
      </c>
      <c r="S22" s="89" t="str">
        <f t="shared" si="12"/>
        <v/>
      </c>
      <c r="T22" s="89" t="str">
        <f t="shared" si="12"/>
        <v>y</v>
      </c>
      <c r="U22" s="254" t="str">
        <f t="shared" si="12"/>
        <v/>
      </c>
      <c r="V22" s="308"/>
      <c r="W22" s="309" t="str" cm="1">
        <f t="array" ref="W22">_xlfn.IFS(AND(Q22="y",$D22="Local"), 1, AND(Q22="y",$D22&lt;&gt;"Local"),1.49009696454663%, Q22="","")</f>
        <v/>
      </c>
      <c r="X22" s="272" t="str" cm="1">
        <f t="array" ref="X22">_xlfn.IFS(AND(R22="y",$D22="Local"), 1, AND(R22="y",$D22&lt;&gt;"Local"),20.7557554582461%, R22="","")</f>
        <v/>
      </c>
      <c r="Y22" s="272" t="str" cm="1">
        <f t="array" ref="Y22">_xlfn.IFS(AND(S22="y",$D22="Local"), 1, AND(S22="y",$D22&lt;&gt;"Local"),30.3499104327336%, S22="","")</f>
        <v/>
      </c>
      <c r="Z22" s="272" cm="1">
        <f t="array" ref="Z22">_xlfn.IFS(AND(T22="y",$D22="Local"), 1, AND(T22="y",$D22&lt;&gt;"Local"),29.0043833288201%, T22="","")</f>
        <v>1</v>
      </c>
      <c r="AA22" s="272" t="str" cm="1">
        <f t="array" ref="AA22">_xlfn.IFS(AND(U22="y",$D22="Local"), 1, AND(U22="y",$D22&lt;&gt;"Local"),18.3998538156536%, U22="","")</f>
        <v/>
      </c>
      <c r="AB22" s="68">
        <f t="shared" si="5"/>
        <v>1</v>
      </c>
      <c r="AD22" s="306" t="str">
        <f t="shared" si="6"/>
        <v/>
      </c>
      <c r="AE22" s="242" t="str">
        <f t="shared" si="7"/>
        <v/>
      </c>
      <c r="AF22" s="242" t="str">
        <f t="shared" si="8"/>
        <v/>
      </c>
      <c r="AG22" s="242">
        <f t="shared" si="9"/>
        <v>339766.58</v>
      </c>
      <c r="AH22" s="352" t="str">
        <f t="shared" si="10"/>
        <v/>
      </c>
    </row>
    <row r="23" spans="2:34">
      <c r="B23" s="166" t="s">
        <v>154</v>
      </c>
      <c r="C23" s="150"/>
      <c r="D23" s="150" t="s">
        <v>116</v>
      </c>
      <c r="E23" s="150" t="s">
        <v>143</v>
      </c>
      <c r="F23" s="150" t="s">
        <v>576</v>
      </c>
      <c r="G23" s="146"/>
      <c r="H23" s="155"/>
      <c r="I23" s="135">
        <f t="shared" si="11"/>
        <v>0</v>
      </c>
      <c r="J23" s="147"/>
      <c r="K23" s="155">
        <v>1073.4797263375699</v>
      </c>
      <c r="L23" s="88">
        <f t="shared" si="13"/>
        <v>38.84635077578227</v>
      </c>
      <c r="M23" s="160">
        <v>41700.769999999997</v>
      </c>
      <c r="N23" s="167">
        <v>2016</v>
      </c>
      <c r="O23" s="167">
        <f>IFERROR(('General Input Sheet'!$G$38/(VLOOKUP(N23,'General Input Sheet'!$E$38:$G$44,3,FALSE))),1)</f>
        <v>1</v>
      </c>
      <c r="P23" s="186">
        <f t="shared" si="3"/>
        <v>41700.769999999997</v>
      </c>
      <c r="Q23" s="89" t="str">
        <f t="shared" si="12"/>
        <v/>
      </c>
      <c r="R23" s="89" t="str">
        <f t="shared" si="12"/>
        <v/>
      </c>
      <c r="S23" s="89" t="str">
        <f t="shared" si="12"/>
        <v/>
      </c>
      <c r="T23" s="89" t="str">
        <f t="shared" si="12"/>
        <v/>
      </c>
      <c r="U23" s="254" t="str">
        <f t="shared" si="12"/>
        <v>y</v>
      </c>
      <c r="V23" s="308"/>
      <c r="W23" s="309" t="str" cm="1">
        <f t="array" ref="W23">_xlfn.IFS(AND(Q23="y",$D23="Local"), 1, AND(Q23="y",$D23&lt;&gt;"Local"),1.49009696454663%, Q23="","")</f>
        <v/>
      </c>
      <c r="X23" s="272" t="str" cm="1">
        <f t="array" ref="X23">_xlfn.IFS(AND(R23="y",$D23="Local"), 1, AND(R23="y",$D23&lt;&gt;"Local"),20.7557554582461%, R23="","")</f>
        <v/>
      </c>
      <c r="Y23" s="272" t="str" cm="1">
        <f t="array" ref="Y23">_xlfn.IFS(AND(S23="y",$D23="Local"), 1, AND(S23="y",$D23&lt;&gt;"Local"),30.3499104327336%, S23="","")</f>
        <v/>
      </c>
      <c r="Z23" s="272" t="str" cm="1">
        <f t="array" ref="Z23">_xlfn.IFS(AND(T23="y",$D23="Local"), 1, AND(T23="y",$D23&lt;&gt;"Local"),29.0043833288201%, T23="","")</f>
        <v/>
      </c>
      <c r="AA23" s="272" cm="1">
        <f t="array" ref="AA23">_xlfn.IFS(AND(U23="y",$D23="Local"), 1, AND(U23="y",$D23&lt;&gt;"Local"),18.3998538156536%, U23="","")</f>
        <v>1</v>
      </c>
      <c r="AB23" s="68">
        <f t="shared" si="5"/>
        <v>1</v>
      </c>
      <c r="AD23" s="306" t="str">
        <f t="shared" si="6"/>
        <v/>
      </c>
      <c r="AE23" s="242" t="str">
        <f t="shared" si="7"/>
        <v/>
      </c>
      <c r="AF23" s="242" t="str">
        <f t="shared" si="8"/>
        <v/>
      </c>
      <c r="AG23" s="242" t="str">
        <f t="shared" si="9"/>
        <v/>
      </c>
      <c r="AH23" s="352">
        <f t="shared" si="10"/>
        <v>41700.769999999997</v>
      </c>
    </row>
    <row r="24" spans="2:34">
      <c r="B24" s="166" t="s">
        <v>155</v>
      </c>
      <c r="C24" s="150"/>
      <c r="D24" s="150" t="s">
        <v>116</v>
      </c>
      <c r="E24" s="150" t="s">
        <v>143</v>
      </c>
      <c r="F24" s="150" t="s">
        <v>577</v>
      </c>
      <c r="G24" s="146"/>
      <c r="H24" s="155"/>
      <c r="I24" s="135">
        <f t="shared" si="11"/>
        <v>0</v>
      </c>
      <c r="J24" s="147"/>
      <c r="K24" s="155">
        <v>157.309828899764</v>
      </c>
      <c r="L24" s="88">
        <f t="shared" si="13"/>
        <v>58.184666934144332</v>
      </c>
      <c r="M24" s="160">
        <v>9153.02</v>
      </c>
      <c r="N24" s="167">
        <v>2016</v>
      </c>
      <c r="O24" s="167">
        <f>IFERROR(('General Input Sheet'!$G$38/(VLOOKUP(N24,'General Input Sheet'!$E$38:$G$44,3,FALSE))),1)</f>
        <v>1</v>
      </c>
      <c r="P24" s="186">
        <f t="shared" si="3"/>
        <v>9153.02</v>
      </c>
      <c r="Q24" s="89" t="str">
        <f t="shared" si="12"/>
        <v/>
      </c>
      <c r="R24" s="89" t="str">
        <f t="shared" si="12"/>
        <v/>
      </c>
      <c r="S24" s="89" t="str">
        <f t="shared" si="12"/>
        <v/>
      </c>
      <c r="T24" s="89" t="str">
        <f t="shared" si="12"/>
        <v/>
      </c>
      <c r="U24" s="254" t="str">
        <f t="shared" si="12"/>
        <v>y</v>
      </c>
      <c r="V24" s="308"/>
      <c r="W24" s="309" t="str" cm="1">
        <f t="array" ref="W24">_xlfn.IFS(AND(Q24="y",$D24="Local"), 1, AND(Q24="y",$D24&lt;&gt;"Local"),1.49009696454663%, Q24="","")</f>
        <v/>
      </c>
      <c r="X24" s="272" t="str" cm="1">
        <f t="array" ref="X24">_xlfn.IFS(AND(R24="y",$D24="Local"), 1, AND(R24="y",$D24&lt;&gt;"Local"),20.7557554582461%, R24="","")</f>
        <v/>
      </c>
      <c r="Y24" s="272" t="str" cm="1">
        <f t="array" ref="Y24">_xlfn.IFS(AND(S24="y",$D24="Local"), 1, AND(S24="y",$D24&lt;&gt;"Local"),30.3499104327336%, S24="","")</f>
        <v/>
      </c>
      <c r="Z24" s="272" t="str" cm="1">
        <f t="array" ref="Z24">_xlfn.IFS(AND(T24="y",$D24="Local"), 1, AND(T24="y",$D24&lt;&gt;"Local"),29.0043833288201%, T24="","")</f>
        <v/>
      </c>
      <c r="AA24" s="272" cm="1">
        <f t="array" ref="AA24">_xlfn.IFS(AND(U24="y",$D24="Local"), 1, AND(U24="y",$D24&lt;&gt;"Local"),18.3998538156536%, U24="","")</f>
        <v>1</v>
      </c>
      <c r="AB24" s="68">
        <f t="shared" si="5"/>
        <v>1</v>
      </c>
      <c r="AD24" s="306" t="str">
        <f t="shared" si="6"/>
        <v/>
      </c>
      <c r="AE24" s="242" t="str">
        <f t="shared" si="7"/>
        <v/>
      </c>
      <c r="AF24" s="242" t="str">
        <f t="shared" si="8"/>
        <v/>
      </c>
      <c r="AG24" s="242" t="str">
        <f t="shared" si="9"/>
        <v/>
      </c>
      <c r="AH24" s="352">
        <f t="shared" si="10"/>
        <v>9153.02</v>
      </c>
    </row>
    <row r="25" spans="2:34">
      <c r="B25" s="166" t="s">
        <v>156</v>
      </c>
      <c r="C25" s="150"/>
      <c r="D25" s="150" t="s">
        <v>117</v>
      </c>
      <c r="E25" s="150" t="s">
        <v>141</v>
      </c>
      <c r="F25" s="150" t="s">
        <v>578</v>
      </c>
      <c r="G25" s="146"/>
      <c r="H25" s="155"/>
      <c r="I25" s="135">
        <f t="shared" si="11"/>
        <v>0</v>
      </c>
      <c r="J25" s="147"/>
      <c r="K25" s="155">
        <v>3639.6451223081199</v>
      </c>
      <c r="L25" s="88">
        <f t="shared" si="13"/>
        <v>42.452300927079122</v>
      </c>
      <c r="M25" s="160">
        <v>154511.31</v>
      </c>
      <c r="N25" s="167">
        <v>2016</v>
      </c>
      <c r="O25" s="167">
        <f>IFERROR(('General Input Sheet'!$G$38/(VLOOKUP(N25,'General Input Sheet'!$E$38:$G$44,3,FALSE))),1)</f>
        <v>1</v>
      </c>
      <c r="P25" s="186">
        <f t="shared" si="3"/>
        <v>154511.31</v>
      </c>
      <c r="Q25" s="89" t="str">
        <f t="shared" si="12"/>
        <v>y</v>
      </c>
      <c r="R25" s="89" t="str">
        <f t="shared" si="12"/>
        <v>y</v>
      </c>
      <c r="S25" s="89" t="str">
        <f t="shared" si="12"/>
        <v>y</v>
      </c>
      <c r="T25" s="89" t="str">
        <f t="shared" si="12"/>
        <v>y</v>
      </c>
      <c r="U25" s="254" t="str">
        <f t="shared" si="12"/>
        <v>y</v>
      </c>
      <c r="V25" s="308"/>
      <c r="W25" s="309" cm="1">
        <f t="array" ref="W25">_xlfn.IFS(AND(Q25="y",$D25="Local"), 1, AND(Q25="y",$D25&lt;&gt;"Local"),1.49009696454663%, Q25="","")</f>
        <v>1.49009696454663E-2</v>
      </c>
      <c r="X25" s="272" cm="1">
        <f t="array" ref="X25">_xlfn.IFS(AND(R25="y",$D25="Local"), 1, AND(R25="y",$D25&lt;&gt;"Local"),20.7557554582461%, R25="","")</f>
        <v>0.207557554582461</v>
      </c>
      <c r="Y25" s="272" cm="1">
        <f t="array" ref="Y25">_xlfn.IFS(AND(S25="y",$D25="Local"), 1, AND(S25="y",$D25&lt;&gt;"Local"),30.3499104327336%, S25="","")</f>
        <v>0.30349910432733601</v>
      </c>
      <c r="Z25" s="272" cm="1">
        <f t="array" ref="Z25">_xlfn.IFS(AND(T25="y",$D25="Local"), 1, AND(T25="y",$D25&lt;&gt;"Local"),29.0043833288201%, T25="","")</f>
        <v>0.29004383328820099</v>
      </c>
      <c r="AA25" s="272" cm="1">
        <f t="array" ref="AA25">_xlfn.IFS(AND(U25="y",$D25="Local"), 1, AND(U25="y",$D25&lt;&gt;"Local"),18.3998538156536%, U25="","")</f>
        <v>0.183998538156536</v>
      </c>
      <c r="AB25" s="68">
        <f t="shared" si="5"/>
        <v>1.0000000000000004</v>
      </c>
      <c r="AD25" s="306">
        <f t="shared" si="6"/>
        <v>2302.3683401912326</v>
      </c>
      <c r="AE25" s="242">
        <f t="shared" si="7"/>
        <v>32069.98965893254</v>
      </c>
      <c r="AF25" s="242">
        <f t="shared" si="8"/>
        <v>46894.04419344334</v>
      </c>
      <c r="AG25" s="242">
        <f t="shared" si="9"/>
        <v>44815.052638781526</v>
      </c>
      <c r="AH25" s="352">
        <f t="shared" si="10"/>
        <v>28429.855168651349</v>
      </c>
    </row>
    <row r="26" spans="2:34">
      <c r="B26" s="166" t="s">
        <v>157</v>
      </c>
      <c r="C26" s="150"/>
      <c r="D26" s="150" t="s">
        <v>118</v>
      </c>
      <c r="E26" s="150" t="s">
        <v>140</v>
      </c>
      <c r="F26" s="150" t="s">
        <v>579</v>
      </c>
      <c r="G26" s="146">
        <v>56000</v>
      </c>
      <c r="H26" s="155">
        <v>1921</v>
      </c>
      <c r="I26" s="135">
        <f t="shared" si="11"/>
        <v>45</v>
      </c>
      <c r="J26" s="147">
        <v>142445</v>
      </c>
      <c r="K26" s="155">
        <v>1867.6195634108601</v>
      </c>
      <c r="L26" s="88">
        <f t="shared" si="13"/>
        <v>308.57462156130725</v>
      </c>
      <c r="M26" s="160">
        <v>576300</v>
      </c>
      <c r="N26" s="167">
        <v>2016</v>
      </c>
      <c r="O26" s="167">
        <f>IFERROR(('General Input Sheet'!$G$38/(VLOOKUP(N26,'General Input Sheet'!$E$38:$G$44,3,FALSE))),1)</f>
        <v>1</v>
      </c>
      <c r="P26" s="186">
        <f t="shared" si="3"/>
        <v>718745</v>
      </c>
      <c r="Q26" s="89" t="str">
        <f t="shared" si="12"/>
        <v>y</v>
      </c>
      <c r="R26" s="89" t="str">
        <f t="shared" si="12"/>
        <v>y</v>
      </c>
      <c r="S26" s="89" t="str">
        <f t="shared" si="12"/>
        <v>y</v>
      </c>
      <c r="T26" s="89" t="str">
        <f t="shared" si="12"/>
        <v>y</v>
      </c>
      <c r="U26" s="254" t="str">
        <f t="shared" si="12"/>
        <v>y</v>
      </c>
      <c r="V26" s="308"/>
      <c r="W26" s="309" cm="1">
        <f t="array" ref="W26">_xlfn.IFS(AND(Q26="y",$D26="Local"), 1, AND(Q26="y",$D26&lt;&gt;"Local"),1.49009696454663%, Q26="","")</f>
        <v>1.49009696454663E-2</v>
      </c>
      <c r="X26" s="272" cm="1">
        <f t="array" ref="X26">_xlfn.IFS(AND(R26="y",$D26="Local"), 1, AND(R26="y",$D26&lt;&gt;"Local"),20.7557554582461%, R26="","")</f>
        <v>0.207557554582461</v>
      </c>
      <c r="Y26" s="272" cm="1">
        <f t="array" ref="Y26">_xlfn.IFS(AND(S26="y",$D26="Local"), 1, AND(S26="y",$D26&lt;&gt;"Local"),30.3499104327336%, S26="","")</f>
        <v>0.30349910432733601</v>
      </c>
      <c r="Z26" s="272" cm="1">
        <f t="array" ref="Z26">_xlfn.IFS(AND(T26="y",$D26="Local"), 1, AND(T26="y",$D26&lt;&gt;"Local"),29.0043833288201%, T26="","")</f>
        <v>0.29004383328820099</v>
      </c>
      <c r="AA26" s="272" cm="1">
        <f t="array" ref="AA26">_xlfn.IFS(AND(U26="y",$D26="Local"), 1, AND(U26="y",$D26&lt;&gt;"Local"),18.3998538156536%, U26="","")</f>
        <v>0.183998538156536</v>
      </c>
      <c r="AB26" s="68">
        <f t="shared" si="5"/>
        <v>1.0000000000000004</v>
      </c>
      <c r="AD26" s="306">
        <f t="shared" si="6"/>
        <v>10709.997427830671</v>
      </c>
      <c r="AE26" s="242">
        <f t="shared" si="7"/>
        <v>149180.95456837089</v>
      </c>
      <c r="AF26" s="242">
        <f t="shared" si="8"/>
        <v>218138.46373975105</v>
      </c>
      <c r="AG26" s="242">
        <f t="shared" si="9"/>
        <v>208467.55495672795</v>
      </c>
      <c r="AH26" s="352">
        <f t="shared" si="10"/>
        <v>132248.0293073194</v>
      </c>
    </row>
    <row r="27" spans="2:34">
      <c r="B27" s="166" t="s">
        <v>158</v>
      </c>
      <c r="C27" s="150"/>
      <c r="D27" s="150" t="s">
        <v>118</v>
      </c>
      <c r="E27" s="150" t="s">
        <v>141</v>
      </c>
      <c r="F27" s="150" t="s">
        <v>580</v>
      </c>
      <c r="G27" s="146">
        <v>56000</v>
      </c>
      <c r="H27" s="155">
        <v>200</v>
      </c>
      <c r="I27" s="135">
        <f t="shared" si="11"/>
        <v>45</v>
      </c>
      <c r="J27" s="147">
        <v>65000</v>
      </c>
      <c r="K27" s="155">
        <v>1149.6805537241</v>
      </c>
      <c r="L27" s="88">
        <f t="shared" si="13"/>
        <v>139.09099313023188</v>
      </c>
      <c r="M27" s="160">
        <v>159910.21</v>
      </c>
      <c r="N27" s="167">
        <v>2016</v>
      </c>
      <c r="O27" s="167">
        <f>IFERROR(('General Input Sheet'!$G$38/(VLOOKUP(N27,'General Input Sheet'!$E$38:$G$44,3,FALSE))),1)</f>
        <v>1</v>
      </c>
      <c r="P27" s="186">
        <f t="shared" si="3"/>
        <v>224910.21</v>
      </c>
      <c r="Q27" s="89" t="str">
        <f t="shared" si="12"/>
        <v>y</v>
      </c>
      <c r="R27" s="89" t="str">
        <f t="shared" si="12"/>
        <v>y</v>
      </c>
      <c r="S27" s="89" t="str">
        <f t="shared" si="12"/>
        <v>y</v>
      </c>
      <c r="T27" s="89" t="str">
        <f t="shared" si="12"/>
        <v>y</v>
      </c>
      <c r="U27" s="254" t="str">
        <f t="shared" si="12"/>
        <v>y</v>
      </c>
      <c r="V27" s="308"/>
      <c r="W27" s="309" cm="1">
        <f t="array" ref="W27">_xlfn.IFS(AND(Q27="y",$D27="Local"), 1, AND(Q27="y",$D27&lt;&gt;"Local"),1.49009696454663%, Q27="","")</f>
        <v>1.49009696454663E-2</v>
      </c>
      <c r="X27" s="272" cm="1">
        <f t="array" ref="X27">_xlfn.IFS(AND(R27="y",$D27="Local"), 1, AND(R27="y",$D27&lt;&gt;"Local"),20.7557554582461%, R27="","")</f>
        <v>0.207557554582461</v>
      </c>
      <c r="Y27" s="272" cm="1">
        <f t="array" ref="Y27">_xlfn.IFS(AND(S27="y",$D27="Local"), 1, AND(S27="y",$D27&lt;&gt;"Local"),30.3499104327336%, S27="","")</f>
        <v>0.30349910432733601</v>
      </c>
      <c r="Z27" s="272" cm="1">
        <f t="array" ref="Z27">_xlfn.IFS(AND(T27="y",$D27="Local"), 1, AND(T27="y",$D27&lt;&gt;"Local"),29.0043833288201%, T27="","")</f>
        <v>0.29004383328820099</v>
      </c>
      <c r="AA27" s="272" cm="1">
        <f t="array" ref="AA27">_xlfn.IFS(AND(U27="y",$D27="Local"), 1, AND(U27="y",$D27&lt;&gt;"Local"),18.3998538156536%, U27="","")</f>
        <v>0.183998538156536</v>
      </c>
      <c r="AB27" s="68">
        <f t="shared" si="5"/>
        <v>1.0000000000000004</v>
      </c>
      <c r="AD27" s="306">
        <f t="shared" si="6"/>
        <v>3351.3802121654494</v>
      </c>
      <c r="AE27" s="242">
        <f t="shared" si="7"/>
        <v>46681.813188227745</v>
      </c>
      <c r="AF27" s="242">
        <f t="shared" si="8"/>
        <v>68260.047289073031</v>
      </c>
      <c r="AG27" s="242">
        <f t="shared" si="9"/>
        <v>65233.819454054246</v>
      </c>
      <c r="AH27" s="352">
        <f t="shared" si="10"/>
        <v>41383.149856479504</v>
      </c>
    </row>
    <row r="28" spans="2:34">
      <c r="B28" s="166" t="s">
        <v>158</v>
      </c>
      <c r="C28" s="150"/>
      <c r="D28" s="150" t="s">
        <v>118</v>
      </c>
      <c r="E28" s="150" t="s">
        <v>141</v>
      </c>
      <c r="F28" s="150" t="s">
        <v>580</v>
      </c>
      <c r="G28" s="146">
        <v>56000</v>
      </c>
      <c r="H28" s="155">
        <v>801</v>
      </c>
      <c r="I28" s="135">
        <f t="shared" si="11"/>
        <v>45</v>
      </c>
      <c r="J28" s="147">
        <v>92045</v>
      </c>
      <c r="K28" s="155"/>
      <c r="L28" s="88">
        <f t="shared" si="13"/>
        <v>0</v>
      </c>
      <c r="M28" s="160"/>
      <c r="N28" s="167">
        <v>2016</v>
      </c>
      <c r="O28" s="167">
        <f>IFERROR(('General Input Sheet'!$G$38/(VLOOKUP(N28,'General Input Sheet'!$E$38:$G$44,3,FALSE))),1)</f>
        <v>1</v>
      </c>
      <c r="P28" s="186">
        <f t="shared" si="3"/>
        <v>92045</v>
      </c>
      <c r="Q28" s="89" t="str">
        <f t="shared" si="12"/>
        <v>y</v>
      </c>
      <c r="R28" s="89" t="str">
        <f t="shared" si="12"/>
        <v>y</v>
      </c>
      <c r="S28" s="89" t="str">
        <f t="shared" si="12"/>
        <v>y</v>
      </c>
      <c r="T28" s="89" t="str">
        <f t="shared" si="12"/>
        <v>y</v>
      </c>
      <c r="U28" s="254" t="str">
        <f t="shared" si="12"/>
        <v>y</v>
      </c>
      <c r="V28" s="308"/>
      <c r="W28" s="309" cm="1">
        <f t="array" ref="W28">_xlfn.IFS(AND(Q28="y",$D28="Local"), 1, AND(Q28="y",$D28&lt;&gt;"Local"),1.49009696454663%, Q28="","")</f>
        <v>1.49009696454663E-2</v>
      </c>
      <c r="X28" s="272" cm="1">
        <f t="array" ref="X28">_xlfn.IFS(AND(R28="y",$D28="Local"), 1, AND(R28="y",$D28&lt;&gt;"Local"),20.7557554582461%, R28="","")</f>
        <v>0.207557554582461</v>
      </c>
      <c r="Y28" s="272" cm="1">
        <f t="array" ref="Y28">_xlfn.IFS(AND(S28="y",$D28="Local"), 1, AND(S28="y",$D28&lt;&gt;"Local"),30.3499104327336%, S28="","")</f>
        <v>0.30349910432733601</v>
      </c>
      <c r="Z28" s="272" cm="1">
        <f t="array" ref="Z28">_xlfn.IFS(AND(T28="y",$D28="Local"), 1, AND(T28="y",$D28&lt;&gt;"Local"),29.0043833288201%, T28="","")</f>
        <v>0.29004383328820099</v>
      </c>
      <c r="AA28" s="272" cm="1">
        <f t="array" ref="AA28">_xlfn.IFS(AND(U28="y",$D28="Local"), 1, AND(U28="y",$D28&lt;&gt;"Local"),18.3998538156536%, U28="","")</f>
        <v>0.183998538156536</v>
      </c>
      <c r="AB28" s="68">
        <f t="shared" si="5"/>
        <v>1.0000000000000004</v>
      </c>
      <c r="AD28" s="306">
        <f t="shared" si="6"/>
        <v>1371.559751016945</v>
      </c>
      <c r="AE28" s="242">
        <f t="shared" si="7"/>
        <v>19104.635111542615</v>
      </c>
      <c r="AF28" s="242">
        <f t="shared" si="8"/>
        <v>27935.575057809634</v>
      </c>
      <c r="AG28" s="242">
        <f t="shared" si="9"/>
        <v>26697.084635012448</v>
      </c>
      <c r="AH28" s="352">
        <f t="shared" si="10"/>
        <v>16936.145444618349</v>
      </c>
    </row>
    <row r="29" spans="2:34">
      <c r="B29" s="166" t="s">
        <v>159</v>
      </c>
      <c r="C29" s="150"/>
      <c r="D29" s="150" t="s">
        <v>118</v>
      </c>
      <c r="E29" s="150" t="s">
        <v>141</v>
      </c>
      <c r="F29" s="150" t="s">
        <v>581</v>
      </c>
      <c r="G29" s="146"/>
      <c r="H29" s="155"/>
      <c r="I29" s="135">
        <f t="shared" si="11"/>
        <v>0</v>
      </c>
      <c r="J29" s="147"/>
      <c r="K29" s="155">
        <v>3553.7208806879098</v>
      </c>
      <c r="L29" s="88">
        <f t="shared" si="13"/>
        <v>25.144774449112802</v>
      </c>
      <c r="M29" s="160">
        <v>89357.51</v>
      </c>
      <c r="N29" s="167">
        <v>2016</v>
      </c>
      <c r="O29" s="167">
        <f>IFERROR(('General Input Sheet'!$G$38/(VLOOKUP(N29,'General Input Sheet'!$E$38:$G$44,3,FALSE))),1)</f>
        <v>1</v>
      </c>
      <c r="P29" s="186">
        <f t="shared" si="3"/>
        <v>89357.51</v>
      </c>
      <c r="Q29" s="89" t="str">
        <f t="shared" si="12"/>
        <v>y</v>
      </c>
      <c r="R29" s="89" t="str">
        <f t="shared" si="12"/>
        <v>y</v>
      </c>
      <c r="S29" s="89" t="str">
        <f t="shared" si="12"/>
        <v>y</v>
      </c>
      <c r="T29" s="89" t="str">
        <f t="shared" si="12"/>
        <v>y</v>
      </c>
      <c r="U29" s="254" t="str">
        <f t="shared" si="12"/>
        <v>y</v>
      </c>
      <c r="V29" s="308"/>
      <c r="W29" s="309" cm="1">
        <f t="array" ref="W29">_xlfn.IFS(AND(Q29="y",$D29="Local"), 1, AND(Q29="y",$D29&lt;&gt;"Local"),1.49009696454663%, Q29="","")</f>
        <v>1.49009696454663E-2</v>
      </c>
      <c r="X29" s="272" cm="1">
        <f t="array" ref="X29">_xlfn.IFS(AND(R29="y",$D29="Local"), 1, AND(R29="y",$D29&lt;&gt;"Local"),20.7557554582461%, R29="","")</f>
        <v>0.207557554582461</v>
      </c>
      <c r="Y29" s="272" cm="1">
        <f t="array" ref="Y29">_xlfn.IFS(AND(S29="y",$D29="Local"), 1, AND(S29="y",$D29&lt;&gt;"Local"),30.3499104327336%, S29="","")</f>
        <v>0.30349910432733601</v>
      </c>
      <c r="Z29" s="272" cm="1">
        <f t="array" ref="Z29">_xlfn.IFS(AND(T29="y",$D29="Local"), 1, AND(T29="y",$D29&lt;&gt;"Local"),29.0043833288201%, T29="","")</f>
        <v>0.29004383328820099</v>
      </c>
      <c r="AA29" s="272" cm="1">
        <f t="array" ref="AA29">_xlfn.IFS(AND(U29="y",$D29="Local"), 1, AND(U29="y",$D29&lt;&gt;"Local"),18.3998538156536%, U29="","")</f>
        <v>0.183998538156536</v>
      </c>
      <c r="AB29" s="68">
        <f t="shared" si="5"/>
        <v>1.0000000000000004</v>
      </c>
      <c r="AD29" s="306">
        <f t="shared" si="6"/>
        <v>1331.5135441044506</v>
      </c>
      <c r="AE29" s="242">
        <f t="shared" si="7"/>
        <v>18546.826259177797</v>
      </c>
      <c r="AF29" s="242">
        <f t="shared" si="8"/>
        <v>27119.924249920958</v>
      </c>
      <c r="AG29" s="242">
        <f t="shared" si="9"/>
        <v>25917.594733488742</v>
      </c>
      <c r="AH29" s="352">
        <f t="shared" si="10"/>
        <v>16441.65121330804</v>
      </c>
    </row>
    <row r="30" spans="2:34">
      <c r="B30" s="166" t="s">
        <v>160</v>
      </c>
      <c r="C30" s="150"/>
      <c r="D30" s="150" t="s">
        <v>116</v>
      </c>
      <c r="E30" s="150" t="s">
        <v>143</v>
      </c>
      <c r="F30" s="150" t="s">
        <v>582</v>
      </c>
      <c r="G30" s="146">
        <v>56000</v>
      </c>
      <c r="H30" s="155">
        <v>2150</v>
      </c>
      <c r="I30" s="135">
        <f t="shared" si="11"/>
        <v>45</v>
      </c>
      <c r="J30" s="147">
        <v>152750</v>
      </c>
      <c r="K30" s="155">
        <v>5547.7202888400598</v>
      </c>
      <c r="L30" s="88">
        <f t="shared" si="13"/>
        <v>23.672781460194891</v>
      </c>
      <c r="M30" s="160">
        <v>131329.97</v>
      </c>
      <c r="N30" s="167">
        <v>2016</v>
      </c>
      <c r="O30" s="167">
        <f>IFERROR(('General Input Sheet'!$G$38/(VLOOKUP(N30,'General Input Sheet'!$E$38:$G$44,3,FALSE))),1)</f>
        <v>1</v>
      </c>
      <c r="P30" s="186">
        <f t="shared" si="3"/>
        <v>284079.96999999997</v>
      </c>
      <c r="Q30" s="89" t="str">
        <f t="shared" ref="Q30:U80" si="14">IF(OR(Q$9=$E30,$D30="Metropolitan",$D30="District"),"y","")</f>
        <v/>
      </c>
      <c r="R30" s="89" t="str">
        <f t="shared" si="14"/>
        <v/>
      </c>
      <c r="S30" s="89" t="str">
        <f t="shared" si="14"/>
        <v/>
      </c>
      <c r="T30" s="89" t="str">
        <f t="shared" si="14"/>
        <v/>
      </c>
      <c r="U30" s="254" t="str">
        <f t="shared" si="14"/>
        <v>y</v>
      </c>
      <c r="V30" s="308"/>
      <c r="W30" s="309" t="str" cm="1">
        <f t="array" ref="W30">_xlfn.IFS(AND(Q30="y",$D30="Local"), 1, AND(Q30="y",$D30&lt;&gt;"Local"),1.49009696454663%, Q30="","")</f>
        <v/>
      </c>
      <c r="X30" s="272" t="str" cm="1">
        <f t="array" ref="X30">_xlfn.IFS(AND(R30="y",$D30="Local"), 1, AND(R30="y",$D30&lt;&gt;"Local"),20.7557554582461%, R30="","")</f>
        <v/>
      </c>
      <c r="Y30" s="272" t="str" cm="1">
        <f t="array" ref="Y30">_xlfn.IFS(AND(S30="y",$D30="Local"), 1, AND(S30="y",$D30&lt;&gt;"Local"),30.3499104327336%, S30="","")</f>
        <v/>
      </c>
      <c r="Z30" s="272" t="str" cm="1">
        <f t="array" ref="Z30">_xlfn.IFS(AND(T30="y",$D30="Local"), 1, AND(T30="y",$D30&lt;&gt;"Local"),29.0043833288201%, T30="","")</f>
        <v/>
      </c>
      <c r="AA30" s="272" cm="1">
        <f t="array" ref="AA30">_xlfn.IFS(AND(U30="y",$D30="Local"), 1, AND(U30="y",$D30&lt;&gt;"Local"),18.3998538156536%, U30="","")</f>
        <v>1</v>
      </c>
      <c r="AB30" s="68">
        <f t="shared" si="5"/>
        <v>1</v>
      </c>
      <c r="AD30" s="306" t="str">
        <f t="shared" si="6"/>
        <v/>
      </c>
      <c r="AE30" s="242" t="str">
        <f t="shared" si="7"/>
        <v/>
      </c>
      <c r="AF30" s="242" t="str">
        <f t="shared" si="8"/>
        <v/>
      </c>
      <c r="AG30" s="242" t="str">
        <f t="shared" si="9"/>
        <v/>
      </c>
      <c r="AH30" s="352">
        <f t="shared" si="10"/>
        <v>284079.96999999997</v>
      </c>
    </row>
    <row r="31" spans="2:34">
      <c r="B31" s="166" t="s">
        <v>161</v>
      </c>
      <c r="C31" s="150"/>
      <c r="D31" s="150" t="s">
        <v>116</v>
      </c>
      <c r="E31" s="150" t="s">
        <v>143</v>
      </c>
      <c r="F31" s="150" t="s">
        <v>583</v>
      </c>
      <c r="G31" s="146"/>
      <c r="H31" s="155"/>
      <c r="I31" s="135">
        <f t="shared" si="11"/>
        <v>0</v>
      </c>
      <c r="J31" s="147"/>
      <c r="K31" s="155">
        <v>743.64211059976799</v>
      </c>
      <c r="L31" s="88">
        <f t="shared" si="13"/>
        <v>178.1188936344258</v>
      </c>
      <c r="M31" s="160">
        <v>132456.71</v>
      </c>
      <c r="N31" s="167">
        <v>2016</v>
      </c>
      <c r="O31" s="167">
        <f>IFERROR(('General Input Sheet'!$G$38/(VLOOKUP(N31,'General Input Sheet'!$E$38:$G$44,3,FALSE))),1)</f>
        <v>1</v>
      </c>
      <c r="P31" s="186">
        <f t="shared" si="3"/>
        <v>132456.71</v>
      </c>
      <c r="Q31" s="89" t="str">
        <f t="shared" si="14"/>
        <v/>
      </c>
      <c r="R31" s="89" t="str">
        <f t="shared" si="14"/>
        <v/>
      </c>
      <c r="S31" s="89" t="str">
        <f t="shared" si="14"/>
        <v/>
      </c>
      <c r="T31" s="89" t="str">
        <f t="shared" si="14"/>
        <v/>
      </c>
      <c r="U31" s="254" t="str">
        <f t="shared" si="14"/>
        <v>y</v>
      </c>
      <c r="V31" s="308"/>
      <c r="W31" s="309" t="str" cm="1">
        <f t="array" ref="W31">_xlfn.IFS(AND(Q31="y",$D31="Local"), 1, AND(Q31="y",$D31&lt;&gt;"Local"),1.49009696454663%, Q31="","")</f>
        <v/>
      </c>
      <c r="X31" s="272" t="str" cm="1">
        <f t="array" ref="X31">_xlfn.IFS(AND(R31="y",$D31="Local"), 1, AND(R31="y",$D31&lt;&gt;"Local"),20.7557554582461%, R31="","")</f>
        <v/>
      </c>
      <c r="Y31" s="272" t="str" cm="1">
        <f t="array" ref="Y31">_xlfn.IFS(AND(S31="y",$D31="Local"), 1, AND(S31="y",$D31&lt;&gt;"Local"),30.3499104327336%, S31="","")</f>
        <v/>
      </c>
      <c r="Z31" s="272" t="str" cm="1">
        <f t="array" ref="Z31">_xlfn.IFS(AND(T31="y",$D31="Local"), 1, AND(T31="y",$D31&lt;&gt;"Local"),29.0043833288201%, T31="","")</f>
        <v/>
      </c>
      <c r="AA31" s="272" cm="1">
        <f t="array" ref="AA31">_xlfn.IFS(AND(U31="y",$D31="Local"), 1, AND(U31="y",$D31&lt;&gt;"Local"),18.3998538156536%, U31="","")</f>
        <v>1</v>
      </c>
      <c r="AB31" s="68">
        <f t="shared" si="5"/>
        <v>1</v>
      </c>
      <c r="AD31" s="306" t="str">
        <f t="shared" si="6"/>
        <v/>
      </c>
      <c r="AE31" s="242" t="str">
        <f t="shared" si="7"/>
        <v/>
      </c>
      <c r="AF31" s="242" t="str">
        <f t="shared" si="8"/>
        <v/>
      </c>
      <c r="AG31" s="242" t="str">
        <f t="shared" si="9"/>
        <v/>
      </c>
      <c r="AH31" s="352">
        <f t="shared" si="10"/>
        <v>132456.71</v>
      </c>
    </row>
    <row r="32" spans="2:34">
      <c r="B32" s="166" t="s">
        <v>162</v>
      </c>
      <c r="C32" s="150"/>
      <c r="D32" s="150" t="s">
        <v>116</v>
      </c>
      <c r="E32" s="150" t="s">
        <v>141</v>
      </c>
      <c r="F32" s="150" t="s">
        <v>584</v>
      </c>
      <c r="G32" s="146">
        <v>56000</v>
      </c>
      <c r="H32" s="155">
        <v>1260</v>
      </c>
      <c r="I32" s="135">
        <f t="shared" si="11"/>
        <v>45</v>
      </c>
      <c r="J32" s="147">
        <v>112700</v>
      </c>
      <c r="K32" s="155">
        <v>2183.1127840686299</v>
      </c>
      <c r="L32" s="88">
        <f t="shared" si="13"/>
        <v>91.344804288284095</v>
      </c>
      <c r="M32" s="160">
        <v>199416.01</v>
      </c>
      <c r="N32" s="167">
        <v>2016</v>
      </c>
      <c r="O32" s="167">
        <f>IFERROR(('General Input Sheet'!$G$38/(VLOOKUP(N32,'General Input Sheet'!$E$38:$G$44,3,FALSE))),1)</f>
        <v>1</v>
      </c>
      <c r="P32" s="186">
        <f t="shared" si="3"/>
        <v>312116.01</v>
      </c>
      <c r="Q32" s="89" t="str">
        <f t="shared" si="14"/>
        <v/>
      </c>
      <c r="R32" s="89" t="str">
        <f t="shared" si="14"/>
        <v/>
      </c>
      <c r="S32" s="89" t="str">
        <f t="shared" si="14"/>
        <v>y</v>
      </c>
      <c r="T32" s="89" t="str">
        <f t="shared" si="14"/>
        <v/>
      </c>
      <c r="U32" s="254" t="str">
        <f t="shared" si="14"/>
        <v/>
      </c>
      <c r="V32" s="308"/>
      <c r="W32" s="309" t="str" cm="1">
        <f t="array" ref="W32">_xlfn.IFS(AND(Q32="y",$D32="Local"), 1, AND(Q32="y",$D32&lt;&gt;"Local"),1.49009696454663%, Q32="","")</f>
        <v/>
      </c>
      <c r="X32" s="272" t="str" cm="1">
        <f t="array" ref="X32">_xlfn.IFS(AND(R32="y",$D32="Local"), 1, AND(R32="y",$D32&lt;&gt;"Local"),20.7557554582461%, R32="","")</f>
        <v/>
      </c>
      <c r="Y32" s="272" cm="1">
        <f t="array" ref="Y32">_xlfn.IFS(AND(S32="y",$D32="Local"), 1, AND(S32="y",$D32&lt;&gt;"Local"),30.3499104327336%, S32="","")</f>
        <v>1</v>
      </c>
      <c r="Z32" s="272" t="str" cm="1">
        <f t="array" ref="Z32">_xlfn.IFS(AND(T32="y",$D32="Local"), 1, AND(T32="y",$D32&lt;&gt;"Local"),29.0043833288201%, T32="","")</f>
        <v/>
      </c>
      <c r="AA32" s="272" t="str" cm="1">
        <f t="array" ref="AA32">_xlfn.IFS(AND(U32="y",$D32="Local"), 1, AND(U32="y",$D32&lt;&gt;"Local"),18.3998538156536%, U32="","")</f>
        <v/>
      </c>
      <c r="AB32" s="68">
        <f t="shared" si="5"/>
        <v>1</v>
      </c>
      <c r="AD32" s="306" t="str">
        <f t="shared" si="6"/>
        <v/>
      </c>
      <c r="AE32" s="242" t="str">
        <f t="shared" si="7"/>
        <v/>
      </c>
      <c r="AF32" s="242">
        <f t="shared" si="8"/>
        <v>312116.01</v>
      </c>
      <c r="AG32" s="242" t="str">
        <f t="shared" si="9"/>
        <v/>
      </c>
      <c r="AH32" s="352" t="str">
        <f t="shared" si="10"/>
        <v/>
      </c>
    </row>
    <row r="33" spans="2:34">
      <c r="B33" s="166" t="s">
        <v>163</v>
      </c>
      <c r="C33" s="150"/>
      <c r="D33" s="150" t="s">
        <v>116</v>
      </c>
      <c r="E33" s="150" t="s">
        <v>140</v>
      </c>
      <c r="F33" s="150" t="s">
        <v>585</v>
      </c>
      <c r="G33" s="146"/>
      <c r="H33" s="155"/>
      <c r="I33" s="135">
        <f t="shared" si="11"/>
        <v>0</v>
      </c>
      <c r="J33" s="147"/>
      <c r="K33" s="155">
        <v>17.815703545818899</v>
      </c>
      <c r="L33" s="88">
        <f t="shared" si="13"/>
        <v>212.89981561745034</v>
      </c>
      <c r="M33" s="160">
        <v>3792.96</v>
      </c>
      <c r="N33" s="167">
        <v>2016</v>
      </c>
      <c r="O33" s="167">
        <f>IFERROR(('General Input Sheet'!$G$38/(VLOOKUP(N33,'General Input Sheet'!$E$38:$G$44,3,FALSE))),1)</f>
        <v>1</v>
      </c>
      <c r="P33" s="186">
        <f t="shared" si="3"/>
        <v>3792.96</v>
      </c>
      <c r="Q33" s="89" t="str">
        <f t="shared" si="14"/>
        <v/>
      </c>
      <c r="R33" s="89" t="str">
        <f t="shared" si="14"/>
        <v>y</v>
      </c>
      <c r="S33" s="89" t="str">
        <f t="shared" si="14"/>
        <v/>
      </c>
      <c r="T33" s="89" t="str">
        <f t="shared" si="14"/>
        <v/>
      </c>
      <c r="U33" s="254" t="str">
        <f t="shared" si="14"/>
        <v/>
      </c>
      <c r="V33" s="308"/>
      <c r="W33" s="309" t="str" cm="1">
        <f t="array" ref="W33">_xlfn.IFS(AND(Q33="y",$D33="Local"), 1, AND(Q33="y",$D33&lt;&gt;"Local"),1.49009696454663%, Q33="","")</f>
        <v/>
      </c>
      <c r="X33" s="272" cm="1">
        <f t="array" ref="X33">_xlfn.IFS(AND(R33="y",$D33="Local"), 1, AND(R33="y",$D33&lt;&gt;"Local"),20.7557554582461%, R33="","")</f>
        <v>1</v>
      </c>
      <c r="Y33" s="272" t="str" cm="1">
        <f t="array" ref="Y33">_xlfn.IFS(AND(S33="y",$D33="Local"), 1, AND(S33="y",$D33&lt;&gt;"Local"),30.3499104327336%, S33="","")</f>
        <v/>
      </c>
      <c r="Z33" s="272" t="str" cm="1">
        <f t="array" ref="Z33">_xlfn.IFS(AND(T33="y",$D33="Local"), 1, AND(T33="y",$D33&lt;&gt;"Local"),29.0043833288201%, T33="","")</f>
        <v/>
      </c>
      <c r="AA33" s="272" t="str" cm="1">
        <f t="array" ref="AA33">_xlfn.IFS(AND(U33="y",$D33="Local"), 1, AND(U33="y",$D33&lt;&gt;"Local"),18.3998538156536%, U33="","")</f>
        <v/>
      </c>
      <c r="AB33" s="68">
        <f t="shared" si="5"/>
        <v>1</v>
      </c>
      <c r="AD33" s="306" t="str">
        <f t="shared" si="6"/>
        <v/>
      </c>
      <c r="AE33" s="242">
        <f t="shared" si="7"/>
        <v>3792.96</v>
      </c>
      <c r="AF33" s="242" t="str">
        <f t="shared" si="8"/>
        <v/>
      </c>
      <c r="AG33" s="242" t="str">
        <f t="shared" si="9"/>
        <v/>
      </c>
      <c r="AH33" s="352" t="str">
        <f t="shared" si="10"/>
        <v/>
      </c>
    </row>
    <row r="34" spans="2:34">
      <c r="B34" s="166" t="s">
        <v>164</v>
      </c>
      <c r="C34" s="150"/>
      <c r="D34" s="150" t="s">
        <v>117</v>
      </c>
      <c r="E34" s="150" t="s">
        <v>140</v>
      </c>
      <c r="F34" s="150" t="s">
        <v>586</v>
      </c>
      <c r="G34" s="146"/>
      <c r="H34" s="155"/>
      <c r="I34" s="135">
        <f t="shared" si="11"/>
        <v>0</v>
      </c>
      <c r="J34" s="147"/>
      <c r="K34" s="155">
        <v>1967.3055236878599</v>
      </c>
      <c r="L34" s="88">
        <f t="shared" si="13"/>
        <v>20.332800126040151</v>
      </c>
      <c r="M34" s="160">
        <v>40000.83</v>
      </c>
      <c r="N34" s="167">
        <v>2016</v>
      </c>
      <c r="O34" s="167">
        <f>IFERROR(('General Input Sheet'!$G$38/(VLOOKUP(N34,'General Input Sheet'!$E$38:$G$44,3,FALSE))),1)</f>
        <v>1</v>
      </c>
      <c r="P34" s="186">
        <f t="shared" si="3"/>
        <v>40000.83</v>
      </c>
      <c r="Q34" s="89" t="str">
        <f t="shared" si="14"/>
        <v>y</v>
      </c>
      <c r="R34" s="89" t="str">
        <f t="shared" si="14"/>
        <v>y</v>
      </c>
      <c r="S34" s="89" t="str">
        <f t="shared" si="14"/>
        <v>y</v>
      </c>
      <c r="T34" s="89" t="str">
        <f t="shared" si="14"/>
        <v>y</v>
      </c>
      <c r="U34" s="254" t="str">
        <f t="shared" si="14"/>
        <v>y</v>
      </c>
      <c r="V34" s="308"/>
      <c r="W34" s="309" cm="1">
        <f t="array" ref="W34">_xlfn.IFS(AND(Q34="y",$D34="Local"), 1, AND(Q34="y",$D34&lt;&gt;"Local"),1.49009696454663%, Q34="","")</f>
        <v>1.49009696454663E-2</v>
      </c>
      <c r="X34" s="272" cm="1">
        <f t="array" ref="X34">_xlfn.IFS(AND(R34="y",$D34="Local"), 1, AND(R34="y",$D34&lt;&gt;"Local"),20.7557554582461%, R34="","")</f>
        <v>0.207557554582461</v>
      </c>
      <c r="Y34" s="272" cm="1">
        <f t="array" ref="Y34">_xlfn.IFS(AND(S34="y",$D34="Local"), 1, AND(S34="y",$D34&lt;&gt;"Local"),30.3499104327336%, S34="","")</f>
        <v>0.30349910432733601</v>
      </c>
      <c r="Z34" s="272" cm="1">
        <f t="array" ref="Z34">_xlfn.IFS(AND(T34="y",$D34="Local"), 1, AND(T34="y",$D34&lt;&gt;"Local"),29.0043833288201%, T34="","")</f>
        <v>0.29004383328820099</v>
      </c>
      <c r="AA34" s="272" cm="1">
        <f t="array" ref="AA34">_xlfn.IFS(AND(U34="y",$D34="Local"), 1, AND(U34="y",$D34&lt;&gt;"Local"),18.3998538156536%, U34="","")</f>
        <v>0.183998538156536</v>
      </c>
      <c r="AB34" s="68">
        <f t="shared" si="5"/>
        <v>1.0000000000000004</v>
      </c>
      <c r="AD34" s="306">
        <f t="shared" si="6"/>
        <v>596.05115362345748</v>
      </c>
      <c r="AE34" s="242">
        <f t="shared" si="7"/>
        <v>8302.4744560687413</v>
      </c>
      <c r="AF34" s="242">
        <f t="shared" si="8"/>
        <v>12140.216077350029</v>
      </c>
      <c r="AG34" s="242">
        <f t="shared" si="9"/>
        <v>11601.994067909665</v>
      </c>
      <c r="AH34" s="352">
        <f t="shared" si="10"/>
        <v>7360.094245048107</v>
      </c>
    </row>
    <row r="35" spans="2:34">
      <c r="B35" s="166" t="s">
        <v>165</v>
      </c>
      <c r="C35" s="150"/>
      <c r="D35" s="150" t="s">
        <v>118</v>
      </c>
      <c r="E35" s="150" t="s">
        <v>142</v>
      </c>
      <c r="F35" s="150" t="s">
        <v>587</v>
      </c>
      <c r="G35" s="146"/>
      <c r="H35" s="155"/>
      <c r="I35" s="135">
        <f t="shared" si="11"/>
        <v>0</v>
      </c>
      <c r="J35" s="147"/>
      <c r="K35" s="155">
        <v>2316.5057924347002</v>
      </c>
      <c r="L35" s="88">
        <f t="shared" si="13"/>
        <v>104.04790732108403</v>
      </c>
      <c r="M35" s="160">
        <v>241027.58</v>
      </c>
      <c r="N35" s="167">
        <v>2016</v>
      </c>
      <c r="O35" s="167">
        <f>IFERROR(('General Input Sheet'!$G$38/(VLOOKUP(N35,'General Input Sheet'!$E$38:$G$44,3,FALSE))),1)</f>
        <v>1</v>
      </c>
      <c r="P35" s="186">
        <f t="shared" si="3"/>
        <v>241027.58</v>
      </c>
      <c r="Q35" s="89" t="str">
        <f t="shared" si="14"/>
        <v>y</v>
      </c>
      <c r="R35" s="89" t="str">
        <f t="shared" si="14"/>
        <v>y</v>
      </c>
      <c r="S35" s="89" t="str">
        <f t="shared" si="14"/>
        <v>y</v>
      </c>
      <c r="T35" s="89" t="str">
        <f t="shared" si="14"/>
        <v>y</v>
      </c>
      <c r="U35" s="254" t="str">
        <f t="shared" si="14"/>
        <v>y</v>
      </c>
      <c r="V35" s="308"/>
      <c r="W35" s="309" cm="1">
        <f t="array" ref="W35">_xlfn.IFS(AND(Q35="y",$D35="Local"), 1, AND(Q35="y",$D35&lt;&gt;"Local"),1.49009696454663%, Q35="","")</f>
        <v>1.49009696454663E-2</v>
      </c>
      <c r="X35" s="272" cm="1">
        <f t="array" ref="X35">_xlfn.IFS(AND(R35="y",$D35="Local"), 1, AND(R35="y",$D35&lt;&gt;"Local"),20.7557554582461%, R35="","")</f>
        <v>0.207557554582461</v>
      </c>
      <c r="Y35" s="272" cm="1">
        <f t="array" ref="Y35">_xlfn.IFS(AND(S35="y",$D35="Local"), 1, AND(S35="y",$D35&lt;&gt;"Local"),30.3499104327336%, S35="","")</f>
        <v>0.30349910432733601</v>
      </c>
      <c r="Z35" s="272" cm="1">
        <f t="array" ref="Z35">_xlfn.IFS(AND(T35="y",$D35="Local"), 1, AND(T35="y",$D35&lt;&gt;"Local"),29.0043833288201%, T35="","")</f>
        <v>0.29004383328820099</v>
      </c>
      <c r="AA35" s="272" cm="1">
        <f t="array" ref="AA35">_xlfn.IFS(AND(U35="y",$D35="Local"), 1, AND(U35="y",$D35&lt;&gt;"Local"),18.3998538156536%, U35="","")</f>
        <v>0.183998538156536</v>
      </c>
      <c r="AB35" s="68">
        <f t="shared" si="5"/>
        <v>1.0000000000000004</v>
      </c>
      <c r="AD35" s="306">
        <f t="shared" si="6"/>
        <v>3591.5446533001987</v>
      </c>
      <c r="AE35" s="242">
        <f t="shared" si="7"/>
        <v>50027.095091728464</v>
      </c>
      <c r="AF35" s="242">
        <f t="shared" si="8"/>
        <v>73151.6546481853</v>
      </c>
      <c r="AG35" s="242">
        <f t="shared" si="9"/>
        <v>69908.563231378503</v>
      </c>
      <c r="AH35" s="352">
        <f t="shared" si="10"/>
        <v>44348.722375407509</v>
      </c>
    </row>
    <row r="36" spans="2:34">
      <c r="B36" s="166" t="s">
        <v>166</v>
      </c>
      <c r="C36" s="150"/>
      <c r="D36" s="150" t="s">
        <v>117</v>
      </c>
      <c r="E36" s="150" t="s">
        <v>141</v>
      </c>
      <c r="F36" s="150" t="s">
        <v>588</v>
      </c>
      <c r="G36" s="146"/>
      <c r="H36" s="155"/>
      <c r="I36" s="135">
        <f t="shared" si="11"/>
        <v>0</v>
      </c>
      <c r="J36" s="147"/>
      <c r="K36" s="155">
        <v>1799.66053879024</v>
      </c>
      <c r="L36" s="88">
        <f t="shared" si="13"/>
        <v>193.42758953530256</v>
      </c>
      <c r="M36" s="160">
        <v>348104</v>
      </c>
      <c r="N36" s="167">
        <v>2016</v>
      </c>
      <c r="O36" s="167">
        <f>IFERROR(('General Input Sheet'!$G$38/(VLOOKUP(N36,'General Input Sheet'!$E$38:$G$44,3,FALSE))),1)</f>
        <v>1</v>
      </c>
      <c r="P36" s="186">
        <f t="shared" si="3"/>
        <v>348104</v>
      </c>
      <c r="Q36" s="89" t="str">
        <f t="shared" si="14"/>
        <v>y</v>
      </c>
      <c r="R36" s="89" t="str">
        <f t="shared" si="14"/>
        <v>y</v>
      </c>
      <c r="S36" s="89" t="str">
        <f t="shared" si="14"/>
        <v>y</v>
      </c>
      <c r="T36" s="89" t="str">
        <f t="shared" si="14"/>
        <v>y</v>
      </c>
      <c r="U36" s="254" t="str">
        <f t="shared" si="14"/>
        <v>y</v>
      </c>
      <c r="V36" s="308"/>
      <c r="W36" s="309" cm="1">
        <f t="array" ref="W36">_xlfn.IFS(AND(Q36="y",$D36="Local"), 1, AND(Q36="y",$D36&lt;&gt;"Local"),1.49009696454663%, Q36="","")</f>
        <v>1.49009696454663E-2</v>
      </c>
      <c r="X36" s="272" cm="1">
        <f t="array" ref="X36">_xlfn.IFS(AND(R36="y",$D36="Local"), 1, AND(R36="y",$D36&lt;&gt;"Local"),20.7557554582461%, R36="","")</f>
        <v>0.207557554582461</v>
      </c>
      <c r="Y36" s="272" cm="1">
        <f t="array" ref="Y36">_xlfn.IFS(AND(S36="y",$D36="Local"), 1, AND(S36="y",$D36&lt;&gt;"Local"),30.3499104327336%, S36="","")</f>
        <v>0.30349910432733601</v>
      </c>
      <c r="Z36" s="272" cm="1">
        <f t="array" ref="Z36">_xlfn.IFS(AND(T36="y",$D36="Local"), 1, AND(T36="y",$D36&lt;&gt;"Local"),29.0043833288201%, T36="","")</f>
        <v>0.29004383328820099</v>
      </c>
      <c r="AA36" s="272" cm="1">
        <f t="array" ref="AA36">_xlfn.IFS(AND(U36="y",$D36="Local"), 1, AND(U36="y",$D36&lt;&gt;"Local"),18.3998538156536%, U36="","")</f>
        <v>0.183998538156536</v>
      </c>
      <c r="AB36" s="68">
        <f t="shared" si="5"/>
        <v>1.0000000000000004</v>
      </c>
      <c r="AD36" s="306">
        <f t="shared" si="6"/>
        <v>5187.0871374653989</v>
      </c>
      <c r="AE36" s="242">
        <f t="shared" si="7"/>
        <v>72251.614980372979</v>
      </c>
      <c r="AF36" s="242">
        <f t="shared" si="8"/>
        <v>105649.25221276293</v>
      </c>
      <c r="AG36" s="242">
        <f t="shared" si="9"/>
        <v>100965.41854295589</v>
      </c>
      <c r="AH36" s="352">
        <f t="shared" si="10"/>
        <v>64050.627126442778</v>
      </c>
    </row>
    <row r="37" spans="2:34">
      <c r="B37" s="166" t="s">
        <v>167</v>
      </c>
      <c r="C37" s="150"/>
      <c r="D37" s="150" t="s">
        <v>117</v>
      </c>
      <c r="E37" s="150" t="s">
        <v>141</v>
      </c>
      <c r="F37" s="150" t="s">
        <v>589</v>
      </c>
      <c r="G37" s="146"/>
      <c r="H37" s="155"/>
      <c r="I37" s="135">
        <f t="shared" si="11"/>
        <v>0</v>
      </c>
      <c r="J37" s="147"/>
      <c r="K37" s="155">
        <v>915.34518769599799</v>
      </c>
      <c r="L37" s="88">
        <f t="shared" si="13"/>
        <v>261.45437067560425</v>
      </c>
      <c r="M37" s="160">
        <v>239321</v>
      </c>
      <c r="N37" s="167">
        <v>2016</v>
      </c>
      <c r="O37" s="167">
        <f>IFERROR(('General Input Sheet'!$G$38/(VLOOKUP(N37,'General Input Sheet'!$E$38:$G$44,3,FALSE))),1)</f>
        <v>1</v>
      </c>
      <c r="P37" s="186">
        <f t="shared" si="3"/>
        <v>239321</v>
      </c>
      <c r="Q37" s="89" t="str">
        <f t="shared" si="14"/>
        <v>y</v>
      </c>
      <c r="R37" s="89" t="str">
        <f t="shared" si="14"/>
        <v>y</v>
      </c>
      <c r="S37" s="89" t="str">
        <f t="shared" si="14"/>
        <v>y</v>
      </c>
      <c r="T37" s="89" t="str">
        <f t="shared" si="14"/>
        <v>y</v>
      </c>
      <c r="U37" s="254" t="str">
        <f t="shared" si="14"/>
        <v>y</v>
      </c>
      <c r="V37" s="308"/>
      <c r="W37" s="309" cm="1">
        <f t="array" ref="W37">_xlfn.IFS(AND(Q37="y",$D37="Local"), 1, AND(Q37="y",$D37&lt;&gt;"Local"),1.49009696454663%, Q37="","")</f>
        <v>1.49009696454663E-2</v>
      </c>
      <c r="X37" s="272" cm="1">
        <f t="array" ref="X37">_xlfn.IFS(AND(R37="y",$D37="Local"), 1, AND(R37="y",$D37&lt;&gt;"Local"),20.7557554582461%, R37="","")</f>
        <v>0.207557554582461</v>
      </c>
      <c r="Y37" s="272" cm="1">
        <f t="array" ref="Y37">_xlfn.IFS(AND(S37="y",$D37="Local"), 1, AND(S37="y",$D37&lt;&gt;"Local"),30.3499104327336%, S37="","")</f>
        <v>0.30349910432733601</v>
      </c>
      <c r="Z37" s="272" cm="1">
        <f t="array" ref="Z37">_xlfn.IFS(AND(T37="y",$D37="Local"), 1, AND(T37="y",$D37&lt;&gt;"Local"),29.0043833288201%, T37="","")</f>
        <v>0.29004383328820099</v>
      </c>
      <c r="AA37" s="272" cm="1">
        <f t="array" ref="AA37">_xlfn.IFS(AND(U37="y",$D37="Local"), 1, AND(U37="y",$D37&lt;&gt;"Local"),18.3998538156536%, U37="","")</f>
        <v>0.183998538156536</v>
      </c>
      <c r="AB37" s="68">
        <f t="shared" si="5"/>
        <v>1.0000000000000004</v>
      </c>
      <c r="AD37" s="306">
        <f t="shared" si="6"/>
        <v>3566.1149565226387</v>
      </c>
      <c r="AE37" s="242">
        <f t="shared" si="7"/>
        <v>49672.88152022913</v>
      </c>
      <c r="AF37" s="242">
        <f t="shared" si="8"/>
        <v>72633.709146722351</v>
      </c>
      <c r="AG37" s="242">
        <f t="shared" si="9"/>
        <v>69413.580226365521</v>
      </c>
      <c r="AH37" s="352">
        <f t="shared" si="10"/>
        <v>44034.714150160333</v>
      </c>
    </row>
    <row r="38" spans="2:34">
      <c r="B38" s="166" t="s">
        <v>168</v>
      </c>
      <c r="C38" s="150"/>
      <c r="D38" s="150" t="s">
        <v>117</v>
      </c>
      <c r="E38" s="150" t="s">
        <v>141</v>
      </c>
      <c r="F38" s="150" t="s">
        <v>590</v>
      </c>
      <c r="G38" s="146"/>
      <c r="H38" s="155"/>
      <c r="I38" s="135">
        <f t="shared" si="11"/>
        <v>0</v>
      </c>
      <c r="J38" s="147"/>
      <c r="K38" s="155">
        <v>112.95681930995499</v>
      </c>
      <c r="L38" s="88">
        <f t="shared" si="13"/>
        <v>364.952114018732</v>
      </c>
      <c r="M38" s="160">
        <v>41223.83</v>
      </c>
      <c r="N38" s="167">
        <v>2016</v>
      </c>
      <c r="O38" s="167">
        <f>IFERROR(('General Input Sheet'!$G$38/(VLOOKUP(N38,'General Input Sheet'!$E$38:$G$44,3,FALSE))),1)</f>
        <v>1</v>
      </c>
      <c r="P38" s="186">
        <f t="shared" si="3"/>
        <v>41223.83</v>
      </c>
      <c r="Q38" s="89" t="str">
        <f t="shared" si="14"/>
        <v>y</v>
      </c>
      <c r="R38" s="89" t="str">
        <f t="shared" si="14"/>
        <v>y</v>
      </c>
      <c r="S38" s="89" t="str">
        <f t="shared" si="14"/>
        <v>y</v>
      </c>
      <c r="T38" s="89" t="str">
        <f t="shared" si="14"/>
        <v>y</v>
      </c>
      <c r="U38" s="254" t="str">
        <f t="shared" si="14"/>
        <v>y</v>
      </c>
      <c r="V38" s="308"/>
      <c r="W38" s="309" cm="1">
        <f t="array" ref="W38">_xlfn.IFS(AND(Q38="y",$D38="Local"), 1, AND(Q38="y",$D38&lt;&gt;"Local"),1.49009696454663%, Q38="","")</f>
        <v>1.49009696454663E-2</v>
      </c>
      <c r="X38" s="272" cm="1">
        <f t="array" ref="X38">_xlfn.IFS(AND(R38="y",$D38="Local"), 1, AND(R38="y",$D38&lt;&gt;"Local"),20.7557554582461%, R38="","")</f>
        <v>0.207557554582461</v>
      </c>
      <c r="Y38" s="272" cm="1">
        <f t="array" ref="Y38">_xlfn.IFS(AND(S38="y",$D38="Local"), 1, AND(S38="y",$D38&lt;&gt;"Local"),30.3499104327336%, S38="","")</f>
        <v>0.30349910432733601</v>
      </c>
      <c r="Z38" s="272" cm="1">
        <f t="array" ref="Z38">_xlfn.IFS(AND(T38="y",$D38="Local"), 1, AND(T38="y",$D38&lt;&gt;"Local"),29.0043833288201%, T38="","")</f>
        <v>0.29004383328820099</v>
      </c>
      <c r="AA38" s="272" cm="1">
        <f t="array" ref="AA38">_xlfn.IFS(AND(U38="y",$D38="Local"), 1, AND(U38="y",$D38&lt;&gt;"Local"),18.3998538156536%, U38="","")</f>
        <v>0.183998538156536</v>
      </c>
      <c r="AB38" s="68">
        <f t="shared" si="5"/>
        <v>1.0000000000000004</v>
      </c>
      <c r="AD38" s="306">
        <f t="shared" si="6"/>
        <v>614.27503949986271</v>
      </c>
      <c r="AE38" s="242">
        <f t="shared" si="7"/>
        <v>8556.3173453230902</v>
      </c>
      <c r="AF38" s="242">
        <f t="shared" si="8"/>
        <v>12511.39548194236</v>
      </c>
      <c r="AG38" s="242">
        <f t="shared" si="9"/>
        <v>11956.717676021135</v>
      </c>
      <c r="AH38" s="352">
        <f t="shared" si="10"/>
        <v>7585.1244572135502</v>
      </c>
    </row>
    <row r="39" spans="2:34">
      <c r="B39" s="166" t="s">
        <v>169</v>
      </c>
      <c r="C39" s="150"/>
      <c r="D39" s="150" t="s">
        <v>116</v>
      </c>
      <c r="E39" s="150" t="s">
        <v>141</v>
      </c>
      <c r="F39" s="150" t="s">
        <v>591</v>
      </c>
      <c r="G39" s="146"/>
      <c r="H39" s="155"/>
      <c r="I39" s="135">
        <f t="shared" si="11"/>
        <v>0</v>
      </c>
      <c r="J39" s="147"/>
      <c r="K39" s="155">
        <v>2061.3417731693498</v>
      </c>
      <c r="L39" s="88">
        <f t="shared" si="13"/>
        <v>142.42908857786955</v>
      </c>
      <c r="M39" s="160">
        <v>293595.03000000003</v>
      </c>
      <c r="N39" s="167">
        <v>2016</v>
      </c>
      <c r="O39" s="167">
        <f>IFERROR(('General Input Sheet'!$G$38/(VLOOKUP(N39,'General Input Sheet'!$E$38:$G$44,3,FALSE))),1)</f>
        <v>1</v>
      </c>
      <c r="P39" s="189">
        <f t="shared" si="3"/>
        <v>293595.03000000003</v>
      </c>
      <c r="Q39" s="89" t="str">
        <f t="shared" si="14"/>
        <v/>
      </c>
      <c r="R39" s="89" t="str">
        <f t="shared" si="14"/>
        <v/>
      </c>
      <c r="S39" s="89" t="str">
        <f t="shared" si="14"/>
        <v>y</v>
      </c>
      <c r="T39" s="89" t="str">
        <f t="shared" si="14"/>
        <v/>
      </c>
      <c r="U39" s="254" t="str">
        <f t="shared" si="14"/>
        <v/>
      </c>
      <c r="V39" s="308"/>
      <c r="W39" s="309" t="str" cm="1">
        <f t="array" ref="W39">_xlfn.IFS(AND(Q39="y",$D39="Local"), 1, AND(Q39="y",$D39&lt;&gt;"Local"),1.49009696454663%, Q39="","")</f>
        <v/>
      </c>
      <c r="X39" s="272" t="str" cm="1">
        <f t="array" ref="X39">_xlfn.IFS(AND(R39="y",$D39="Local"), 1, AND(R39="y",$D39&lt;&gt;"Local"),20.7557554582461%, R39="","")</f>
        <v/>
      </c>
      <c r="Y39" s="272" cm="1">
        <f t="array" ref="Y39">_xlfn.IFS(AND(S39="y",$D39="Local"), 1, AND(S39="y",$D39&lt;&gt;"Local"),30.3499104327336%, S39="","")</f>
        <v>1</v>
      </c>
      <c r="Z39" s="272" t="str" cm="1">
        <f t="array" ref="Z39">_xlfn.IFS(AND(T39="y",$D39="Local"), 1, AND(T39="y",$D39&lt;&gt;"Local"),29.0043833288201%, T39="","")</f>
        <v/>
      </c>
      <c r="AA39" s="272" t="str" cm="1">
        <f t="array" ref="AA39">_xlfn.IFS(AND(U39="y",$D39="Local"), 1, AND(U39="y",$D39&lt;&gt;"Local"),18.3998538156536%, U39="","")</f>
        <v/>
      </c>
      <c r="AB39" s="68">
        <f t="shared" si="5"/>
        <v>1</v>
      </c>
      <c r="AD39" s="306" t="str">
        <f t="shared" si="6"/>
        <v/>
      </c>
      <c r="AE39" s="242" t="str">
        <f t="shared" si="7"/>
        <v/>
      </c>
      <c r="AF39" s="242">
        <f t="shared" si="8"/>
        <v>293595.03000000003</v>
      </c>
      <c r="AG39" s="242" t="str">
        <f t="shared" si="9"/>
        <v/>
      </c>
      <c r="AH39" s="352" t="str">
        <f t="shared" si="10"/>
        <v/>
      </c>
    </row>
    <row r="40" spans="2:34">
      <c r="B40" s="166" t="s">
        <v>170</v>
      </c>
      <c r="C40" s="150"/>
      <c r="D40" s="150" t="s">
        <v>118</v>
      </c>
      <c r="E40" s="150" t="s">
        <v>143</v>
      </c>
      <c r="F40" s="150" t="s">
        <v>592</v>
      </c>
      <c r="G40" s="146"/>
      <c r="H40" s="155"/>
      <c r="I40" s="135">
        <f t="shared" si="11"/>
        <v>0</v>
      </c>
      <c r="J40" s="147"/>
      <c r="K40" s="155">
        <v>2653.8183578247399</v>
      </c>
      <c r="L40" s="88">
        <f t="shared" si="13"/>
        <v>470.42010856511149</v>
      </c>
      <c r="M40" s="160">
        <v>1248409.52</v>
      </c>
      <c r="N40" s="167">
        <v>2016</v>
      </c>
      <c r="O40" s="167">
        <f>IFERROR(('General Input Sheet'!$G$38/(VLOOKUP(N40,'General Input Sheet'!$E$38:$G$44,3,FALSE))),1)</f>
        <v>1</v>
      </c>
      <c r="P40" s="189">
        <f t="shared" si="3"/>
        <v>1248409.52</v>
      </c>
      <c r="Q40" s="89" t="str">
        <f t="shared" si="14"/>
        <v>y</v>
      </c>
      <c r="R40" s="89" t="str">
        <f t="shared" si="14"/>
        <v>y</v>
      </c>
      <c r="S40" s="89" t="str">
        <f t="shared" si="14"/>
        <v>y</v>
      </c>
      <c r="T40" s="89" t="str">
        <f t="shared" si="14"/>
        <v>y</v>
      </c>
      <c r="U40" s="254" t="str">
        <f t="shared" si="14"/>
        <v>y</v>
      </c>
      <c r="V40" s="308"/>
      <c r="W40" s="309" cm="1">
        <f t="array" ref="W40">_xlfn.IFS(AND(Q40="y",$D40="Local"), 1, AND(Q40="y",$D40&lt;&gt;"Local"),1.49009696454663%, Q40="","")</f>
        <v>1.49009696454663E-2</v>
      </c>
      <c r="X40" s="272" cm="1">
        <f t="array" ref="X40">_xlfn.IFS(AND(R40="y",$D40="Local"), 1, AND(R40="y",$D40&lt;&gt;"Local"),20.7557554582461%, R40="","")</f>
        <v>0.207557554582461</v>
      </c>
      <c r="Y40" s="272" cm="1">
        <f t="array" ref="Y40">_xlfn.IFS(AND(S40="y",$D40="Local"), 1, AND(S40="y",$D40&lt;&gt;"Local"),30.3499104327336%, S40="","")</f>
        <v>0.30349910432733601</v>
      </c>
      <c r="Z40" s="272" cm="1">
        <f t="array" ref="Z40">_xlfn.IFS(AND(T40="y",$D40="Local"), 1, AND(T40="y",$D40&lt;&gt;"Local"),29.0043833288201%, T40="","")</f>
        <v>0.29004383328820099</v>
      </c>
      <c r="AA40" s="272" cm="1">
        <f t="array" ref="AA40">_xlfn.IFS(AND(U40="y",$D40="Local"), 1, AND(U40="y",$D40&lt;&gt;"Local"),18.3998538156536%, U40="","")</f>
        <v>0.183998538156536</v>
      </c>
      <c r="AB40" s="68">
        <f t="shared" si="5"/>
        <v>1.0000000000000004</v>
      </c>
      <c r="AD40" s="306">
        <f t="shared" si="6"/>
        <v>18602.512362631147</v>
      </c>
      <c r="AE40" s="242">
        <f t="shared" si="7"/>
        <v>259116.82708866385</v>
      </c>
      <c r="AF40" s="242">
        <f t="shared" si="8"/>
        <v>378891.17115371936</v>
      </c>
      <c r="AG40" s="242">
        <f t="shared" si="9"/>
        <v>362093.48269428289</v>
      </c>
      <c r="AH40" s="352">
        <f t="shared" si="10"/>
        <v>229705.5267007027</v>
      </c>
    </row>
    <row r="41" spans="2:34">
      <c r="B41" s="166" t="s">
        <v>171</v>
      </c>
      <c r="C41" s="150"/>
      <c r="D41" s="150" t="s">
        <v>118</v>
      </c>
      <c r="E41" s="150" t="s">
        <v>142</v>
      </c>
      <c r="F41" s="150" t="s">
        <v>593</v>
      </c>
      <c r="G41" s="146">
        <v>56000</v>
      </c>
      <c r="H41" s="155">
        <v>2880</v>
      </c>
      <c r="I41" s="135">
        <f t="shared" si="11"/>
        <v>45</v>
      </c>
      <c r="J41" s="147">
        <v>185600</v>
      </c>
      <c r="K41" s="155">
        <v>4976.50501957088</v>
      </c>
      <c r="L41" s="88">
        <f t="shared" si="13"/>
        <v>291.37599465840293</v>
      </c>
      <c r="M41" s="160">
        <v>1450034.1</v>
      </c>
      <c r="N41" s="167">
        <v>2016</v>
      </c>
      <c r="O41" s="167">
        <f>IFERROR(('General Input Sheet'!$G$38/(VLOOKUP(N41,'General Input Sheet'!$E$38:$G$44,3,FALSE))),1)</f>
        <v>1</v>
      </c>
      <c r="P41" s="189">
        <f t="shared" si="3"/>
        <v>1635634.1</v>
      </c>
      <c r="Q41" s="89" t="str">
        <f t="shared" si="14"/>
        <v>y</v>
      </c>
      <c r="R41" s="89" t="str">
        <f t="shared" si="14"/>
        <v>y</v>
      </c>
      <c r="S41" s="89" t="str">
        <f t="shared" si="14"/>
        <v>y</v>
      </c>
      <c r="T41" s="89" t="str">
        <f t="shared" si="14"/>
        <v>y</v>
      </c>
      <c r="U41" s="254" t="str">
        <f t="shared" si="14"/>
        <v>y</v>
      </c>
      <c r="V41" s="308"/>
      <c r="W41" s="309" cm="1">
        <f t="array" ref="W41">_xlfn.IFS(AND(Q41="y",$D41="Local"), 1, AND(Q41="y",$D41&lt;&gt;"Local"),1.49009696454663%, Q41="","")</f>
        <v>1.49009696454663E-2</v>
      </c>
      <c r="X41" s="272" cm="1">
        <f t="array" ref="X41">_xlfn.IFS(AND(R41="y",$D41="Local"), 1, AND(R41="y",$D41&lt;&gt;"Local"),20.7557554582461%, R41="","")</f>
        <v>0.207557554582461</v>
      </c>
      <c r="Y41" s="272" cm="1">
        <f t="array" ref="Y41">_xlfn.IFS(AND(S41="y",$D41="Local"), 1, AND(S41="y",$D41&lt;&gt;"Local"),30.3499104327336%, S41="","")</f>
        <v>0.30349910432733601</v>
      </c>
      <c r="Z41" s="272" cm="1">
        <f t="array" ref="Z41">_xlfn.IFS(AND(T41="y",$D41="Local"), 1, AND(T41="y",$D41&lt;&gt;"Local"),29.0043833288201%, T41="","")</f>
        <v>0.29004383328820099</v>
      </c>
      <c r="AA41" s="272" cm="1">
        <f t="array" ref="AA41">_xlfn.IFS(AND(U41="y",$D41="Local"), 1, AND(U41="y",$D41&lt;&gt;"Local"),18.3998538156536%, U41="","")</f>
        <v>0.183998538156536</v>
      </c>
      <c r="AB41" s="68">
        <f t="shared" si="5"/>
        <v>1.0000000000000004</v>
      </c>
      <c r="AD41" s="306">
        <f t="shared" si="6"/>
        <v>24372.534075189582</v>
      </c>
      <c r="AE41" s="242">
        <f t="shared" si="7"/>
        <v>339488.21398768434</v>
      </c>
      <c r="AF41" s="242">
        <f t="shared" si="8"/>
        <v>496413.48435724818</v>
      </c>
      <c r="AG41" s="242">
        <f t="shared" si="9"/>
        <v>474405.58422089653</v>
      </c>
      <c r="AH41" s="352">
        <f t="shared" si="10"/>
        <v>300954.28335898131</v>
      </c>
    </row>
    <row r="42" spans="2:34">
      <c r="B42" s="166" t="s">
        <v>172</v>
      </c>
      <c r="C42" s="150"/>
      <c r="D42" s="150" t="s">
        <v>116</v>
      </c>
      <c r="E42" s="150" t="s">
        <v>142</v>
      </c>
      <c r="F42" s="150" t="s">
        <v>594</v>
      </c>
      <c r="G42" s="146"/>
      <c r="H42" s="155"/>
      <c r="I42" s="135">
        <f t="shared" si="11"/>
        <v>0</v>
      </c>
      <c r="J42" s="147"/>
      <c r="K42" s="155">
        <v>2378.8820545611302</v>
      </c>
      <c r="L42" s="88">
        <f t="shared" si="13"/>
        <v>47.180813266804115</v>
      </c>
      <c r="M42" s="160">
        <v>112237.59</v>
      </c>
      <c r="N42" s="167">
        <v>2016</v>
      </c>
      <c r="O42" s="167">
        <f>IFERROR(('General Input Sheet'!$G$38/(VLOOKUP(N42,'General Input Sheet'!$E$38:$G$44,3,FALSE))),1)</f>
        <v>1</v>
      </c>
      <c r="P42" s="189">
        <f t="shared" si="3"/>
        <v>112237.59</v>
      </c>
      <c r="Q42" s="89" t="str">
        <f t="shared" si="14"/>
        <v/>
      </c>
      <c r="R42" s="89" t="str">
        <f t="shared" si="14"/>
        <v/>
      </c>
      <c r="S42" s="89" t="str">
        <f t="shared" si="14"/>
        <v/>
      </c>
      <c r="T42" s="89" t="str">
        <f t="shared" si="14"/>
        <v>y</v>
      </c>
      <c r="U42" s="254" t="str">
        <f t="shared" si="14"/>
        <v/>
      </c>
      <c r="V42" s="308"/>
      <c r="W42" s="309" t="str" cm="1">
        <f t="array" ref="W42">_xlfn.IFS(AND(Q42="y",$D42="Local"), 1, AND(Q42="y",$D42&lt;&gt;"Local"),1.49009696454663%, Q42="","")</f>
        <v/>
      </c>
      <c r="X42" s="272" t="str" cm="1">
        <f t="array" ref="X42">_xlfn.IFS(AND(R42="y",$D42="Local"), 1, AND(R42="y",$D42&lt;&gt;"Local"),20.7557554582461%, R42="","")</f>
        <v/>
      </c>
      <c r="Y42" s="272" t="str" cm="1">
        <f t="array" ref="Y42">_xlfn.IFS(AND(S42="y",$D42="Local"), 1, AND(S42="y",$D42&lt;&gt;"Local"),30.3499104327336%, S42="","")</f>
        <v/>
      </c>
      <c r="Z42" s="272" cm="1">
        <f t="array" ref="Z42">_xlfn.IFS(AND(T42="y",$D42="Local"), 1, AND(T42="y",$D42&lt;&gt;"Local"),29.0043833288201%, T42="","")</f>
        <v>1</v>
      </c>
      <c r="AA42" s="272" t="str" cm="1">
        <f t="array" ref="AA42">_xlfn.IFS(AND(U42="y",$D42="Local"), 1, AND(U42="y",$D42&lt;&gt;"Local"),18.3998538156536%, U42="","")</f>
        <v/>
      </c>
      <c r="AB42" s="68">
        <f t="shared" si="5"/>
        <v>1</v>
      </c>
      <c r="AD42" s="306" t="str">
        <f t="shared" si="6"/>
        <v/>
      </c>
      <c r="AE42" s="242" t="str">
        <f t="shared" si="7"/>
        <v/>
      </c>
      <c r="AF42" s="242" t="str">
        <f t="shared" si="8"/>
        <v/>
      </c>
      <c r="AG42" s="242">
        <f t="shared" si="9"/>
        <v>112237.59</v>
      </c>
      <c r="AH42" s="352" t="str">
        <f t="shared" si="10"/>
        <v/>
      </c>
    </row>
    <row r="43" spans="2:34">
      <c r="B43" s="166" t="s">
        <v>173</v>
      </c>
      <c r="C43" s="150"/>
      <c r="D43" s="150" t="s">
        <v>116</v>
      </c>
      <c r="E43" s="150" t="s">
        <v>140</v>
      </c>
      <c r="F43" s="150" t="s">
        <v>595</v>
      </c>
      <c r="G43" s="146"/>
      <c r="H43" s="155"/>
      <c r="I43" s="135">
        <f t="shared" si="11"/>
        <v>0</v>
      </c>
      <c r="J43" s="147"/>
      <c r="K43" s="155">
        <v>1758.8038954576</v>
      </c>
      <c r="L43" s="88">
        <f t="shared" si="13"/>
        <v>61.575966643980422</v>
      </c>
      <c r="M43" s="160">
        <v>108300.05</v>
      </c>
      <c r="N43" s="167">
        <v>2016</v>
      </c>
      <c r="O43" s="167">
        <f>IFERROR(('General Input Sheet'!$G$38/(VLOOKUP(N43,'General Input Sheet'!$E$38:$G$44,3,FALSE))),1)</f>
        <v>1</v>
      </c>
      <c r="P43" s="189">
        <f t="shared" si="3"/>
        <v>108300.05</v>
      </c>
      <c r="Q43" s="89" t="str">
        <f t="shared" si="14"/>
        <v/>
      </c>
      <c r="R43" s="89" t="str">
        <f t="shared" si="14"/>
        <v>y</v>
      </c>
      <c r="S43" s="89" t="str">
        <f t="shared" si="14"/>
        <v/>
      </c>
      <c r="T43" s="89" t="str">
        <f t="shared" si="14"/>
        <v/>
      </c>
      <c r="U43" s="254" t="str">
        <f t="shared" si="14"/>
        <v/>
      </c>
      <c r="V43" s="308"/>
      <c r="W43" s="309" t="str" cm="1">
        <f t="array" ref="W43">_xlfn.IFS(AND(Q43="y",$D43="Local"), 1, AND(Q43="y",$D43&lt;&gt;"Local"),1.49009696454663%, Q43="","")</f>
        <v/>
      </c>
      <c r="X43" s="272" cm="1">
        <f t="array" ref="X43">_xlfn.IFS(AND(R43="y",$D43="Local"), 1, AND(R43="y",$D43&lt;&gt;"Local"),20.7557554582461%, R43="","")</f>
        <v>1</v>
      </c>
      <c r="Y43" s="272" t="str" cm="1">
        <f t="array" ref="Y43">_xlfn.IFS(AND(S43="y",$D43="Local"), 1, AND(S43="y",$D43&lt;&gt;"Local"),30.3499104327336%, S43="","")</f>
        <v/>
      </c>
      <c r="Z43" s="272" t="str" cm="1">
        <f t="array" ref="Z43">_xlfn.IFS(AND(T43="y",$D43="Local"), 1, AND(T43="y",$D43&lt;&gt;"Local"),29.0043833288201%, T43="","")</f>
        <v/>
      </c>
      <c r="AA43" s="272" t="str" cm="1">
        <f t="array" ref="AA43">_xlfn.IFS(AND(U43="y",$D43="Local"), 1, AND(U43="y",$D43&lt;&gt;"Local"),18.3998538156536%, U43="","")</f>
        <v/>
      </c>
      <c r="AB43" s="68">
        <f t="shared" si="5"/>
        <v>1</v>
      </c>
      <c r="AD43" s="306" t="str">
        <f t="shared" si="6"/>
        <v/>
      </c>
      <c r="AE43" s="242">
        <f t="shared" si="7"/>
        <v>108300.05</v>
      </c>
      <c r="AF43" s="242" t="str">
        <f t="shared" si="8"/>
        <v/>
      </c>
      <c r="AG43" s="242" t="str">
        <f t="shared" si="9"/>
        <v/>
      </c>
      <c r="AH43" s="352" t="str">
        <f t="shared" si="10"/>
        <v/>
      </c>
    </row>
    <row r="44" spans="2:34">
      <c r="B44" s="166" t="s">
        <v>174</v>
      </c>
      <c r="C44" s="150"/>
      <c r="D44" s="150" t="s">
        <v>118</v>
      </c>
      <c r="E44" s="150" t="s">
        <v>142</v>
      </c>
      <c r="F44" s="150" t="s">
        <v>596</v>
      </c>
      <c r="G44" s="146"/>
      <c r="H44" s="155"/>
      <c r="I44" s="135">
        <f t="shared" si="11"/>
        <v>0</v>
      </c>
      <c r="J44" s="147"/>
      <c r="K44" s="155">
        <v>14064.828193921199</v>
      </c>
      <c r="L44" s="88">
        <f t="shared" si="13"/>
        <v>34.269740330587112</v>
      </c>
      <c r="M44" s="160">
        <v>481998.01</v>
      </c>
      <c r="N44" s="167">
        <v>2016</v>
      </c>
      <c r="O44" s="167">
        <f>IFERROR(('General Input Sheet'!$G$38/(VLOOKUP(N44,'General Input Sheet'!$E$38:$G$44,3,FALSE))),1)</f>
        <v>1</v>
      </c>
      <c r="P44" s="189">
        <f t="shared" si="3"/>
        <v>481998.01</v>
      </c>
      <c r="Q44" s="89" t="str">
        <f t="shared" si="14"/>
        <v>y</v>
      </c>
      <c r="R44" s="89" t="str">
        <f t="shared" si="14"/>
        <v>y</v>
      </c>
      <c r="S44" s="89" t="str">
        <f t="shared" si="14"/>
        <v>y</v>
      </c>
      <c r="T44" s="89" t="str">
        <f t="shared" si="14"/>
        <v>y</v>
      </c>
      <c r="U44" s="254" t="str">
        <f t="shared" si="14"/>
        <v>y</v>
      </c>
      <c r="V44" s="308"/>
      <c r="W44" s="309" cm="1">
        <f t="array" ref="W44">_xlfn.IFS(AND(Q44="y",$D44="Local"), 1, AND(Q44="y",$D44&lt;&gt;"Local"),1.49009696454663%, Q44="","")</f>
        <v>1.49009696454663E-2</v>
      </c>
      <c r="X44" s="272" cm="1">
        <f t="array" ref="X44">_xlfn.IFS(AND(R44="y",$D44="Local"), 1, AND(R44="y",$D44&lt;&gt;"Local"),20.7557554582461%, R44="","")</f>
        <v>0.207557554582461</v>
      </c>
      <c r="Y44" s="272" cm="1">
        <f t="array" ref="Y44">_xlfn.IFS(AND(S44="y",$D44="Local"), 1, AND(S44="y",$D44&lt;&gt;"Local"),30.3499104327336%, S44="","")</f>
        <v>0.30349910432733601</v>
      </c>
      <c r="Z44" s="272" cm="1">
        <f t="array" ref="Z44">_xlfn.IFS(AND(T44="y",$D44="Local"), 1, AND(T44="y",$D44&lt;&gt;"Local"),29.0043833288201%, T44="","")</f>
        <v>0.29004383328820099</v>
      </c>
      <c r="AA44" s="272" cm="1">
        <f t="array" ref="AA44">_xlfn.IFS(AND(U44="y",$D44="Local"), 1, AND(U44="y",$D44&lt;&gt;"Local"),18.3998538156536%, U44="","")</f>
        <v>0.183998538156536</v>
      </c>
      <c r="AB44" s="68">
        <f t="shared" si="5"/>
        <v>1.0000000000000004</v>
      </c>
      <c r="AD44" s="306">
        <f t="shared" si="6"/>
        <v>7182.2377161851591</v>
      </c>
      <c r="AE44" s="242">
        <f t="shared" si="7"/>
        <v>100042.32826921255</v>
      </c>
      <c r="AF44" s="242">
        <f t="shared" si="8"/>
        <v>146285.96432255828</v>
      </c>
      <c r="AG44" s="242">
        <f t="shared" si="9"/>
        <v>139800.55045768459</v>
      </c>
      <c r="AH44" s="352">
        <f t="shared" si="10"/>
        <v>88686.929234359384</v>
      </c>
    </row>
    <row r="45" spans="2:34">
      <c r="B45" s="166" t="s">
        <v>175</v>
      </c>
      <c r="C45" s="150"/>
      <c r="D45" s="150" t="s">
        <v>118</v>
      </c>
      <c r="E45" s="150" t="s">
        <v>142</v>
      </c>
      <c r="F45" s="150" t="s">
        <v>597</v>
      </c>
      <c r="G45" s="146"/>
      <c r="H45" s="155"/>
      <c r="I45" s="135">
        <f t="shared" si="11"/>
        <v>0</v>
      </c>
      <c r="J45" s="147"/>
      <c r="K45" s="155">
        <v>775.54214652206997</v>
      </c>
      <c r="L45" s="88">
        <f t="shared" si="13"/>
        <v>147.96217138501379</v>
      </c>
      <c r="M45" s="160">
        <v>114750.9</v>
      </c>
      <c r="N45" s="167">
        <v>2016</v>
      </c>
      <c r="O45" s="167">
        <f>IFERROR(('General Input Sheet'!$G$38/(VLOOKUP(N45,'General Input Sheet'!$E$38:$G$44,3,FALSE))),1)</f>
        <v>1</v>
      </c>
      <c r="P45" s="189">
        <f t="shared" si="3"/>
        <v>114750.9</v>
      </c>
      <c r="Q45" s="89" t="str">
        <f t="shared" si="14"/>
        <v>y</v>
      </c>
      <c r="R45" s="89" t="str">
        <f t="shared" si="14"/>
        <v>y</v>
      </c>
      <c r="S45" s="89" t="str">
        <f t="shared" si="14"/>
        <v>y</v>
      </c>
      <c r="T45" s="89" t="str">
        <f t="shared" si="14"/>
        <v>y</v>
      </c>
      <c r="U45" s="254" t="str">
        <f t="shared" si="14"/>
        <v>y</v>
      </c>
      <c r="V45" s="308"/>
      <c r="W45" s="309" cm="1">
        <f t="array" ref="W45">_xlfn.IFS(AND(Q45="y",$D45="Local"), 1, AND(Q45="y",$D45&lt;&gt;"Local"),1.49009696454663%, Q45="","")</f>
        <v>1.49009696454663E-2</v>
      </c>
      <c r="X45" s="272" cm="1">
        <f t="array" ref="X45">_xlfn.IFS(AND(R45="y",$D45="Local"), 1, AND(R45="y",$D45&lt;&gt;"Local"),20.7557554582461%, R45="","")</f>
        <v>0.207557554582461</v>
      </c>
      <c r="Y45" s="272" cm="1">
        <f t="array" ref="Y45">_xlfn.IFS(AND(S45="y",$D45="Local"), 1, AND(S45="y",$D45&lt;&gt;"Local"),30.3499104327336%, S45="","")</f>
        <v>0.30349910432733601</v>
      </c>
      <c r="Z45" s="272" cm="1">
        <f t="array" ref="Z45">_xlfn.IFS(AND(T45="y",$D45="Local"), 1, AND(T45="y",$D45&lt;&gt;"Local"),29.0043833288201%, T45="","")</f>
        <v>0.29004383328820099</v>
      </c>
      <c r="AA45" s="272" cm="1">
        <f t="array" ref="AA45">_xlfn.IFS(AND(U45="y",$D45="Local"), 1, AND(U45="y",$D45&lt;&gt;"Local"),18.3998538156536%, U45="","")</f>
        <v>0.183998538156536</v>
      </c>
      <c r="AB45" s="68">
        <f t="shared" si="5"/>
        <v>1.0000000000000004</v>
      </c>
      <c r="AD45" s="306">
        <f t="shared" si="6"/>
        <v>1709.899677689938</v>
      </c>
      <c r="AE45" s="242">
        <f t="shared" si="7"/>
        <v>23817.416190136515</v>
      </c>
      <c r="AF45" s="242">
        <f t="shared" si="8"/>
        <v>34826.795370755688</v>
      </c>
      <c r="AG45" s="242">
        <f t="shared" si="9"/>
        <v>33282.790909271011</v>
      </c>
      <c r="AH45" s="352">
        <f t="shared" si="10"/>
        <v>21113.997852146837</v>
      </c>
    </row>
    <row r="46" spans="2:34">
      <c r="B46" s="166" t="s">
        <v>176</v>
      </c>
      <c r="C46" s="150"/>
      <c r="D46" s="150" t="s">
        <v>118</v>
      </c>
      <c r="E46" s="150" t="s">
        <v>141</v>
      </c>
      <c r="F46" s="150" t="s">
        <v>598</v>
      </c>
      <c r="G46" s="146"/>
      <c r="H46" s="155"/>
      <c r="I46" s="135">
        <f t="shared" si="11"/>
        <v>0</v>
      </c>
      <c r="J46" s="147"/>
      <c r="K46" s="155">
        <v>1623.83126298244</v>
      </c>
      <c r="L46" s="88">
        <f t="shared" si="13"/>
        <v>3.0902779829373599</v>
      </c>
      <c r="M46" s="160">
        <v>5018.09</v>
      </c>
      <c r="N46" s="167">
        <v>2016</v>
      </c>
      <c r="O46" s="167">
        <f>IFERROR(('General Input Sheet'!$G$38/(VLOOKUP(N46,'General Input Sheet'!$E$38:$G$44,3,FALSE))),1)</f>
        <v>1</v>
      </c>
      <c r="P46" s="189">
        <f t="shared" si="3"/>
        <v>5018.09</v>
      </c>
      <c r="Q46" s="89" t="str">
        <f t="shared" si="14"/>
        <v>y</v>
      </c>
      <c r="R46" s="89" t="str">
        <f t="shared" si="14"/>
        <v>y</v>
      </c>
      <c r="S46" s="89" t="str">
        <f t="shared" si="14"/>
        <v>y</v>
      </c>
      <c r="T46" s="89" t="str">
        <f t="shared" si="14"/>
        <v>y</v>
      </c>
      <c r="U46" s="254" t="str">
        <f t="shared" si="14"/>
        <v>y</v>
      </c>
      <c r="V46" s="308"/>
      <c r="W46" s="309" cm="1">
        <f t="array" ref="W46">_xlfn.IFS(AND(Q46="y",$D46="Local"), 1, AND(Q46="y",$D46&lt;&gt;"Local"),1.49009696454663%, Q46="","")</f>
        <v>1.49009696454663E-2</v>
      </c>
      <c r="X46" s="272" cm="1">
        <f t="array" ref="X46">_xlfn.IFS(AND(R46="y",$D46="Local"), 1, AND(R46="y",$D46&lt;&gt;"Local"),20.7557554582461%, R46="","")</f>
        <v>0.207557554582461</v>
      </c>
      <c r="Y46" s="272" cm="1">
        <f t="array" ref="Y46">_xlfn.IFS(AND(S46="y",$D46="Local"), 1, AND(S46="y",$D46&lt;&gt;"Local"),30.3499104327336%, S46="","")</f>
        <v>0.30349910432733601</v>
      </c>
      <c r="Z46" s="272" cm="1">
        <f t="array" ref="Z46">_xlfn.IFS(AND(T46="y",$D46="Local"), 1, AND(T46="y",$D46&lt;&gt;"Local"),29.0043833288201%, T46="","")</f>
        <v>0.29004383328820099</v>
      </c>
      <c r="AA46" s="272" cm="1">
        <f t="array" ref="AA46">_xlfn.IFS(AND(U46="y",$D46="Local"), 1, AND(U46="y",$D46&lt;&gt;"Local"),18.3998538156536%, U46="","")</f>
        <v>0.183998538156536</v>
      </c>
      <c r="AB46" s="68">
        <f t="shared" si="5"/>
        <v>1.0000000000000004</v>
      </c>
      <c r="AD46" s="306">
        <f t="shared" si="6"/>
        <v>74.774406768217958</v>
      </c>
      <c r="AE46" s="242">
        <f t="shared" si="7"/>
        <v>1041.5424890747013</v>
      </c>
      <c r="AF46" s="242">
        <f t="shared" si="8"/>
        <v>1522.985820433961</v>
      </c>
      <c r="AG46" s="242">
        <f t="shared" si="9"/>
        <v>1455.4660593851879</v>
      </c>
      <c r="AH46" s="352">
        <f t="shared" si="10"/>
        <v>923.32122433793131</v>
      </c>
    </row>
    <row r="47" spans="2:34">
      <c r="B47" s="166" t="s">
        <v>177</v>
      </c>
      <c r="C47" s="150"/>
      <c r="D47" s="150" t="s">
        <v>118</v>
      </c>
      <c r="E47" s="150" t="s">
        <v>143</v>
      </c>
      <c r="F47" s="150" t="s">
        <v>599</v>
      </c>
      <c r="G47" s="146"/>
      <c r="H47" s="155"/>
      <c r="I47" s="135">
        <f t="shared" si="11"/>
        <v>0</v>
      </c>
      <c r="J47" s="147"/>
      <c r="K47" s="155">
        <v>6331.7595658971604</v>
      </c>
      <c r="L47" s="88">
        <f t="shared" si="13"/>
        <v>99.18652208187784</v>
      </c>
      <c r="M47" s="160">
        <v>628025.21</v>
      </c>
      <c r="N47" s="167">
        <v>2016</v>
      </c>
      <c r="O47" s="167">
        <f>IFERROR(('General Input Sheet'!$G$38/(VLOOKUP(N47,'General Input Sheet'!$E$38:$G$44,3,FALSE))),1)</f>
        <v>1</v>
      </c>
      <c r="P47" s="189">
        <f t="shared" si="3"/>
        <v>628025.21</v>
      </c>
      <c r="Q47" s="89" t="str">
        <f t="shared" si="14"/>
        <v>y</v>
      </c>
      <c r="R47" s="89" t="str">
        <f t="shared" si="14"/>
        <v>y</v>
      </c>
      <c r="S47" s="89" t="str">
        <f t="shared" si="14"/>
        <v>y</v>
      </c>
      <c r="T47" s="89" t="str">
        <f t="shared" si="14"/>
        <v>y</v>
      </c>
      <c r="U47" s="254" t="str">
        <f t="shared" si="14"/>
        <v>y</v>
      </c>
      <c r="V47" s="308"/>
      <c r="W47" s="309" cm="1">
        <f t="array" ref="W47">_xlfn.IFS(AND(Q47="y",$D47="Local"), 1, AND(Q47="y",$D47&lt;&gt;"Local"),1.49009696454663%, Q47="","")</f>
        <v>1.49009696454663E-2</v>
      </c>
      <c r="X47" s="272" cm="1">
        <f t="array" ref="X47">_xlfn.IFS(AND(R47="y",$D47="Local"), 1, AND(R47="y",$D47&lt;&gt;"Local"),20.7557554582461%, R47="","")</f>
        <v>0.207557554582461</v>
      </c>
      <c r="Y47" s="272" cm="1">
        <f t="array" ref="Y47">_xlfn.IFS(AND(S47="y",$D47="Local"), 1, AND(S47="y",$D47&lt;&gt;"Local"),30.3499104327336%, S47="","")</f>
        <v>0.30349910432733601</v>
      </c>
      <c r="Z47" s="272" cm="1">
        <f t="array" ref="Z47">_xlfn.IFS(AND(T47="y",$D47="Local"), 1, AND(T47="y",$D47&lt;&gt;"Local"),29.0043833288201%, T47="","")</f>
        <v>0.29004383328820099</v>
      </c>
      <c r="AA47" s="272" cm="1">
        <f t="array" ref="AA47">_xlfn.IFS(AND(U47="y",$D47="Local"), 1, AND(U47="y",$D47&lt;&gt;"Local"),18.3998538156536%, U47="","")</f>
        <v>0.183998538156536</v>
      </c>
      <c r="AB47" s="68">
        <f t="shared" si="5"/>
        <v>1.0000000000000004</v>
      </c>
      <c r="AD47" s="306">
        <f t="shared" si="6"/>
        <v>9358.184590797593</v>
      </c>
      <c r="AE47" s="242">
        <f t="shared" si="7"/>
        <v>130351.37680373648</v>
      </c>
      <c r="AF47" s="242">
        <f t="shared" si="8"/>
        <v>190605.08872998704</v>
      </c>
      <c r="AG47" s="242">
        <f t="shared" si="9"/>
        <v>182154.83931002734</v>
      </c>
      <c r="AH47" s="352">
        <f t="shared" si="10"/>
        <v>115555.72056545147</v>
      </c>
    </row>
    <row r="48" spans="2:34">
      <c r="B48" s="166" t="s">
        <v>178</v>
      </c>
      <c r="C48" s="150"/>
      <c r="D48" s="150" t="s">
        <v>118</v>
      </c>
      <c r="E48" s="150" t="s">
        <v>141</v>
      </c>
      <c r="F48" s="150" t="s">
        <v>600</v>
      </c>
      <c r="G48" s="146">
        <v>56000</v>
      </c>
      <c r="H48" s="155">
        <v>2363</v>
      </c>
      <c r="I48" s="135">
        <f t="shared" si="11"/>
        <v>45</v>
      </c>
      <c r="J48" s="147">
        <v>162335</v>
      </c>
      <c r="K48" s="155">
        <v>8934.6440429826598</v>
      </c>
      <c r="L48" s="88">
        <f t="shared" si="13"/>
        <v>22.659248541525017</v>
      </c>
      <c r="M48" s="160">
        <v>202452.32</v>
      </c>
      <c r="N48" s="167">
        <v>2016</v>
      </c>
      <c r="O48" s="167">
        <f>IFERROR(('General Input Sheet'!$G$38/(VLOOKUP(N48,'General Input Sheet'!$E$38:$G$44,3,FALSE))),1)</f>
        <v>1</v>
      </c>
      <c r="P48" s="189">
        <f t="shared" si="3"/>
        <v>364787.32</v>
      </c>
      <c r="Q48" s="89" t="str">
        <f t="shared" si="14"/>
        <v>y</v>
      </c>
      <c r="R48" s="89" t="str">
        <f t="shared" si="14"/>
        <v>y</v>
      </c>
      <c r="S48" s="89" t="str">
        <f t="shared" si="14"/>
        <v>y</v>
      </c>
      <c r="T48" s="89" t="str">
        <f t="shared" si="14"/>
        <v>y</v>
      </c>
      <c r="U48" s="254" t="str">
        <f t="shared" si="14"/>
        <v>y</v>
      </c>
      <c r="V48" s="308"/>
      <c r="W48" s="309" cm="1">
        <f t="array" ref="W48">_xlfn.IFS(AND(Q48="y",$D48="Local"), 1, AND(Q48="y",$D48&lt;&gt;"Local"),1.49009696454663%, Q48="","")</f>
        <v>1.49009696454663E-2</v>
      </c>
      <c r="X48" s="272" cm="1">
        <f t="array" ref="X48">_xlfn.IFS(AND(R48="y",$D48="Local"), 1, AND(R48="y",$D48&lt;&gt;"Local"),20.7557554582461%, R48="","")</f>
        <v>0.207557554582461</v>
      </c>
      <c r="Y48" s="272" cm="1">
        <f t="array" ref="Y48">_xlfn.IFS(AND(S48="y",$D48="Local"), 1, AND(S48="y",$D48&lt;&gt;"Local"),30.3499104327336%, S48="","")</f>
        <v>0.30349910432733601</v>
      </c>
      <c r="Z48" s="272" cm="1">
        <f t="array" ref="Z48">_xlfn.IFS(AND(T48="y",$D48="Local"), 1, AND(T48="y",$D48&lt;&gt;"Local"),29.0043833288201%, T48="","")</f>
        <v>0.29004383328820099</v>
      </c>
      <c r="AA48" s="272" cm="1">
        <f t="array" ref="AA48">_xlfn.IFS(AND(U48="y",$D48="Local"), 1, AND(U48="y",$D48&lt;&gt;"Local"),18.3998538156536%, U48="","")</f>
        <v>0.183998538156536</v>
      </c>
      <c r="AB48" s="68">
        <f t="shared" si="5"/>
        <v>1.0000000000000004</v>
      </c>
      <c r="AD48" s="306">
        <f t="shared" si="6"/>
        <v>5435.6847823709995</v>
      </c>
      <c r="AE48" s="242">
        <f t="shared" si="7"/>
        <v>75714.364081889638</v>
      </c>
      <c r="AF48" s="242">
        <f t="shared" si="8"/>
        <v>110712.62488996927</v>
      </c>
      <c r="AG48" s="242">
        <f t="shared" si="9"/>
        <v>105804.3126277296</v>
      </c>
      <c r="AH48" s="352">
        <f t="shared" si="10"/>
        <v>67120.333618040473</v>
      </c>
    </row>
    <row r="49" spans="2:34">
      <c r="B49" s="166" t="s">
        <v>179</v>
      </c>
      <c r="C49" s="150"/>
      <c r="D49" s="150" t="s">
        <v>117</v>
      </c>
      <c r="E49" s="150" t="s">
        <v>141</v>
      </c>
      <c r="F49" s="150" t="s">
        <v>601</v>
      </c>
      <c r="G49" s="146"/>
      <c r="H49" s="155"/>
      <c r="I49" s="135">
        <f t="shared" si="11"/>
        <v>0</v>
      </c>
      <c r="J49" s="147"/>
      <c r="K49" s="155">
        <v>4442.9783502851997</v>
      </c>
      <c r="L49" s="88">
        <f t="shared" si="13"/>
        <v>48.968278224005807</v>
      </c>
      <c r="M49" s="160">
        <v>217565</v>
      </c>
      <c r="N49" s="167">
        <v>2016</v>
      </c>
      <c r="O49" s="167">
        <f>IFERROR(('General Input Sheet'!$G$38/(VLOOKUP(N49,'General Input Sheet'!$E$38:$G$44,3,FALSE))),1)</f>
        <v>1</v>
      </c>
      <c r="P49" s="189">
        <f t="shared" si="3"/>
        <v>217565</v>
      </c>
      <c r="Q49" s="89" t="str">
        <f t="shared" si="14"/>
        <v>y</v>
      </c>
      <c r="R49" s="89" t="str">
        <f t="shared" si="14"/>
        <v>y</v>
      </c>
      <c r="S49" s="89" t="str">
        <f t="shared" si="14"/>
        <v>y</v>
      </c>
      <c r="T49" s="89" t="str">
        <f t="shared" si="14"/>
        <v>y</v>
      </c>
      <c r="U49" s="254" t="str">
        <f t="shared" si="14"/>
        <v>y</v>
      </c>
      <c r="V49" s="308"/>
      <c r="W49" s="309" cm="1">
        <f t="array" ref="W49">_xlfn.IFS(AND(Q49="y",$D49="Local"), 1, AND(Q49="y",$D49&lt;&gt;"Local"),1.49009696454663%, Q49="","")</f>
        <v>1.49009696454663E-2</v>
      </c>
      <c r="X49" s="272" cm="1">
        <f t="array" ref="X49">_xlfn.IFS(AND(R49="y",$D49="Local"), 1, AND(R49="y",$D49&lt;&gt;"Local"),20.7557554582461%, R49="","")</f>
        <v>0.207557554582461</v>
      </c>
      <c r="Y49" s="272" cm="1">
        <f t="array" ref="Y49">_xlfn.IFS(AND(S49="y",$D49="Local"), 1, AND(S49="y",$D49&lt;&gt;"Local"),30.3499104327336%, S49="","")</f>
        <v>0.30349910432733601</v>
      </c>
      <c r="Z49" s="272" cm="1">
        <f t="array" ref="Z49">_xlfn.IFS(AND(T49="y",$D49="Local"), 1, AND(T49="y",$D49&lt;&gt;"Local"),29.0043833288201%, T49="","")</f>
        <v>0.29004383328820099</v>
      </c>
      <c r="AA49" s="272" cm="1">
        <f t="array" ref="AA49">_xlfn.IFS(AND(U49="y",$D49="Local"), 1, AND(U49="y",$D49&lt;&gt;"Local"),18.3998538156536%, U49="","")</f>
        <v>0.183998538156536</v>
      </c>
      <c r="AB49" s="68">
        <f t="shared" si="5"/>
        <v>1.0000000000000004</v>
      </c>
      <c r="AD49" s="306">
        <f t="shared" si="6"/>
        <v>3241.9294609158742</v>
      </c>
      <c r="AE49" s="242">
        <f t="shared" si="7"/>
        <v>45157.259362733108</v>
      </c>
      <c r="AF49" s="242">
        <f t="shared" si="8"/>
        <v>66030.782632976829</v>
      </c>
      <c r="AG49" s="242">
        <f t="shared" si="9"/>
        <v>63103.386589347421</v>
      </c>
      <c r="AH49" s="352">
        <f t="shared" si="10"/>
        <v>40031.641954026738</v>
      </c>
    </row>
    <row r="50" spans="2:34">
      <c r="B50" s="166" t="s">
        <v>180</v>
      </c>
      <c r="C50" s="150"/>
      <c r="D50" s="150" t="s">
        <v>118</v>
      </c>
      <c r="E50" s="150" t="s">
        <v>141</v>
      </c>
      <c r="F50" s="150" t="s">
        <v>602</v>
      </c>
      <c r="G50" s="146">
        <v>56000</v>
      </c>
      <c r="H50" s="155">
        <v>1650</v>
      </c>
      <c r="I50" s="135">
        <f t="shared" si="11"/>
        <v>45</v>
      </c>
      <c r="J50" s="147">
        <v>130250</v>
      </c>
      <c r="K50" s="155">
        <v>2378.66314311214</v>
      </c>
      <c r="L50" s="88">
        <f t="shared" si="13"/>
        <v>850.24611654507544</v>
      </c>
      <c r="M50" s="160">
        <v>2022449.1</v>
      </c>
      <c r="N50" s="167">
        <v>2016</v>
      </c>
      <c r="O50" s="167">
        <f>IFERROR(('General Input Sheet'!$G$38/(VLOOKUP(N50,'General Input Sheet'!$E$38:$G$44,3,FALSE))),1)</f>
        <v>1</v>
      </c>
      <c r="P50" s="189">
        <f t="shared" si="3"/>
        <v>2152699.1</v>
      </c>
      <c r="Q50" s="89" t="str">
        <f t="shared" si="14"/>
        <v>y</v>
      </c>
      <c r="R50" s="89" t="str">
        <f t="shared" si="14"/>
        <v>y</v>
      </c>
      <c r="S50" s="89" t="str">
        <f t="shared" si="14"/>
        <v>y</v>
      </c>
      <c r="T50" s="89" t="str">
        <f t="shared" si="14"/>
        <v>y</v>
      </c>
      <c r="U50" s="254" t="str">
        <f t="shared" si="14"/>
        <v>y</v>
      </c>
      <c r="V50" s="308"/>
      <c r="W50" s="309" cm="1">
        <f t="array" ref="W50">_xlfn.IFS(AND(Q50="y",$D50="Local"), 1, AND(Q50="y",$D50&lt;&gt;"Local"),1.49009696454663%, Q50="","")</f>
        <v>1.49009696454663E-2</v>
      </c>
      <c r="X50" s="272" cm="1">
        <f t="array" ref="X50">_xlfn.IFS(AND(R50="y",$D50="Local"), 1, AND(R50="y",$D50&lt;&gt;"Local"),20.7557554582461%, R50="","")</f>
        <v>0.207557554582461</v>
      </c>
      <c r="Y50" s="272" cm="1">
        <f t="array" ref="Y50">_xlfn.IFS(AND(S50="y",$D50="Local"), 1, AND(S50="y",$D50&lt;&gt;"Local"),30.3499104327336%, S50="","")</f>
        <v>0.30349910432733601</v>
      </c>
      <c r="Z50" s="272" cm="1">
        <f t="array" ref="Z50">_xlfn.IFS(AND(T50="y",$D50="Local"), 1, AND(T50="y",$D50&lt;&gt;"Local"),29.0043833288201%, T50="","")</f>
        <v>0.29004383328820099</v>
      </c>
      <c r="AA50" s="272" cm="1">
        <f t="array" ref="AA50">_xlfn.IFS(AND(U50="y",$D50="Local"), 1, AND(U50="y",$D50&lt;&gt;"Local"),18.3998538156536%, U50="","")</f>
        <v>0.183998538156536</v>
      </c>
      <c r="AB50" s="68">
        <f t="shared" si="5"/>
        <v>1.0000000000000004</v>
      </c>
      <c r="AD50" s="306">
        <f t="shared" si="6"/>
        <v>32077.303944922609</v>
      </c>
      <c r="AE50" s="242">
        <f t="shared" si="7"/>
        <v>446808.96094786451</v>
      </c>
      <c r="AF50" s="242">
        <f t="shared" si="8"/>
        <v>653342.24873626209</v>
      </c>
      <c r="AG50" s="242">
        <f t="shared" si="9"/>
        <v>624377.09888006013</v>
      </c>
      <c r="AH50" s="352">
        <f t="shared" si="10"/>
        <v>396093.48749089055</v>
      </c>
    </row>
    <row r="51" spans="2:34">
      <c r="B51" s="166" t="s">
        <v>180</v>
      </c>
      <c r="C51" s="150"/>
      <c r="D51" s="150" t="s">
        <v>118</v>
      </c>
      <c r="E51" s="150" t="s">
        <v>141</v>
      </c>
      <c r="F51" s="150" t="s">
        <v>603</v>
      </c>
      <c r="G51" s="146">
        <v>56000</v>
      </c>
      <c r="H51" s="155">
        <v>200</v>
      </c>
      <c r="I51" s="135">
        <f t="shared" si="11"/>
        <v>45</v>
      </c>
      <c r="J51" s="147">
        <v>65000</v>
      </c>
      <c r="K51" s="155"/>
      <c r="L51" s="88">
        <f t="shared" si="13"/>
        <v>0</v>
      </c>
      <c r="M51" s="160"/>
      <c r="N51" s="167">
        <v>2016</v>
      </c>
      <c r="O51" s="167">
        <f>IFERROR(('General Input Sheet'!$G$38/(VLOOKUP(N51,'General Input Sheet'!$E$38:$G$44,3,FALSE))),1)</f>
        <v>1</v>
      </c>
      <c r="P51" s="189">
        <f t="shared" si="3"/>
        <v>65000</v>
      </c>
      <c r="Q51" s="89" t="str">
        <f t="shared" si="14"/>
        <v>y</v>
      </c>
      <c r="R51" s="89" t="str">
        <f t="shared" si="14"/>
        <v>y</v>
      </c>
      <c r="S51" s="89" t="str">
        <f t="shared" si="14"/>
        <v>y</v>
      </c>
      <c r="T51" s="89" t="str">
        <f t="shared" si="14"/>
        <v>y</v>
      </c>
      <c r="U51" s="254" t="str">
        <f t="shared" si="14"/>
        <v>y</v>
      </c>
      <c r="V51" s="308"/>
      <c r="W51" s="309" cm="1">
        <f t="array" ref="W51">_xlfn.IFS(AND(Q51="y",$D51="Local"), 1, AND(Q51="y",$D51&lt;&gt;"Local"),1.49009696454663%, Q51="","")</f>
        <v>1.49009696454663E-2</v>
      </c>
      <c r="X51" s="272" cm="1">
        <f t="array" ref="X51">_xlfn.IFS(AND(R51="y",$D51="Local"), 1, AND(R51="y",$D51&lt;&gt;"Local"),20.7557554582461%, R51="","")</f>
        <v>0.207557554582461</v>
      </c>
      <c r="Y51" s="272" cm="1">
        <f t="array" ref="Y51">_xlfn.IFS(AND(S51="y",$D51="Local"), 1, AND(S51="y",$D51&lt;&gt;"Local"),30.3499104327336%, S51="","")</f>
        <v>0.30349910432733601</v>
      </c>
      <c r="Z51" s="272" cm="1">
        <f t="array" ref="Z51">_xlfn.IFS(AND(T51="y",$D51="Local"), 1, AND(T51="y",$D51&lt;&gt;"Local"),29.0043833288201%, T51="","")</f>
        <v>0.29004383328820099</v>
      </c>
      <c r="AA51" s="272" cm="1">
        <f t="array" ref="AA51">_xlfn.IFS(AND(U51="y",$D51="Local"), 1, AND(U51="y",$D51&lt;&gt;"Local"),18.3998538156536%, U51="","")</f>
        <v>0.183998538156536</v>
      </c>
      <c r="AB51" s="68">
        <f t="shared" si="5"/>
        <v>1.0000000000000004</v>
      </c>
      <c r="AD51" s="306">
        <f t="shared" si="6"/>
        <v>968.56302695530906</v>
      </c>
      <c r="AE51" s="242">
        <f t="shared" si="7"/>
        <v>13491.24104785996</v>
      </c>
      <c r="AF51" s="242">
        <f t="shared" si="8"/>
        <v>19727.441781276833</v>
      </c>
      <c r="AG51" s="242">
        <f t="shared" si="9"/>
        <v>18852.849163733059</v>
      </c>
      <c r="AH51" s="352">
        <f t="shared" si="10"/>
        <v>11959.904980174835</v>
      </c>
    </row>
    <row r="52" spans="2:34">
      <c r="B52" s="166" t="s">
        <v>181</v>
      </c>
      <c r="C52" s="150"/>
      <c r="D52" s="150" t="s">
        <v>118</v>
      </c>
      <c r="E52" s="150" t="s">
        <v>143</v>
      </c>
      <c r="F52" s="150" t="s">
        <v>604</v>
      </c>
      <c r="G52" s="146">
        <v>56000</v>
      </c>
      <c r="H52" s="155">
        <v>1496</v>
      </c>
      <c r="I52" s="135">
        <f t="shared" si="11"/>
        <v>45</v>
      </c>
      <c r="J52" s="147">
        <v>123320</v>
      </c>
      <c r="K52" s="155">
        <v>22517.468490329298</v>
      </c>
      <c r="L52" s="88">
        <f t="shared" si="13"/>
        <v>36.172202055031654</v>
      </c>
      <c r="M52" s="160">
        <v>814506.42</v>
      </c>
      <c r="N52" s="167">
        <v>2016</v>
      </c>
      <c r="O52" s="167">
        <f>IFERROR(('General Input Sheet'!$G$38/(VLOOKUP(N52,'General Input Sheet'!$E$38:$G$44,3,FALSE))),1)</f>
        <v>1</v>
      </c>
      <c r="P52" s="189">
        <f t="shared" si="3"/>
        <v>937826.42</v>
      </c>
      <c r="Q52" s="89" t="str">
        <f t="shared" si="14"/>
        <v>y</v>
      </c>
      <c r="R52" s="89" t="str">
        <f t="shared" si="14"/>
        <v>y</v>
      </c>
      <c r="S52" s="89" t="str">
        <f t="shared" si="14"/>
        <v>y</v>
      </c>
      <c r="T52" s="89" t="str">
        <f t="shared" si="14"/>
        <v>y</v>
      </c>
      <c r="U52" s="254" t="str">
        <f t="shared" si="14"/>
        <v>y</v>
      </c>
      <c r="V52" s="308"/>
      <c r="W52" s="309" cm="1">
        <f t="array" ref="W52">_xlfn.IFS(AND(Q52="y",$D52="Local"), 1, AND(Q52="y",$D52&lt;&gt;"Local"),1.49009696454663%, Q52="","")</f>
        <v>1.49009696454663E-2</v>
      </c>
      <c r="X52" s="272" cm="1">
        <f t="array" ref="X52">_xlfn.IFS(AND(R52="y",$D52="Local"), 1, AND(R52="y",$D52&lt;&gt;"Local"),20.7557554582461%, R52="","")</f>
        <v>0.207557554582461</v>
      </c>
      <c r="Y52" s="272" cm="1">
        <f t="array" ref="Y52">_xlfn.IFS(AND(S52="y",$D52="Local"), 1, AND(S52="y",$D52&lt;&gt;"Local"),30.3499104327336%, S52="","")</f>
        <v>0.30349910432733601</v>
      </c>
      <c r="Z52" s="272" cm="1">
        <f t="array" ref="Z52">_xlfn.IFS(AND(T52="y",$D52="Local"), 1, AND(T52="y",$D52&lt;&gt;"Local"),29.0043833288201%, T52="","")</f>
        <v>0.29004383328820099</v>
      </c>
      <c r="AA52" s="272" cm="1">
        <f t="array" ref="AA52">_xlfn.IFS(AND(U52="y",$D52="Local"), 1, AND(U52="y",$D52&lt;&gt;"Local"),18.3998538156536%, U52="","")</f>
        <v>0.183998538156536</v>
      </c>
      <c r="AB52" s="68">
        <f t="shared" si="5"/>
        <v>1.0000000000000004</v>
      </c>
      <c r="AD52" s="306">
        <f t="shared" si="6"/>
        <v>13974.523017136324</v>
      </c>
      <c r="AE52" s="242">
        <f t="shared" si="7"/>
        <v>194652.95835802393</v>
      </c>
      <c r="AF52" s="242">
        <f t="shared" si="8"/>
        <v>284629.47848451196</v>
      </c>
      <c r="AG52" s="242">
        <f t="shared" si="9"/>
        <v>272010.76981575025</v>
      </c>
      <c r="AH52" s="352">
        <f t="shared" si="10"/>
        <v>172558.69032457747</v>
      </c>
    </row>
    <row r="53" spans="2:34">
      <c r="B53" s="166" t="s">
        <v>181</v>
      </c>
      <c r="C53" s="150"/>
      <c r="D53" s="150" t="s">
        <v>118</v>
      </c>
      <c r="E53" s="150" t="s">
        <v>143</v>
      </c>
      <c r="F53" s="150" t="s">
        <v>604</v>
      </c>
      <c r="G53" s="146">
        <v>56000</v>
      </c>
      <c r="H53" s="155">
        <v>26590</v>
      </c>
      <c r="I53" s="135">
        <f t="shared" si="11"/>
        <v>45</v>
      </c>
      <c r="J53" s="147">
        <v>1252550</v>
      </c>
      <c r="K53" s="155"/>
      <c r="L53" s="88">
        <f t="shared" si="13"/>
        <v>0</v>
      </c>
      <c r="M53" s="160"/>
      <c r="N53" s="167">
        <v>2016</v>
      </c>
      <c r="O53" s="167">
        <f>IFERROR(('General Input Sheet'!$G$38/(VLOOKUP(N53,'General Input Sheet'!$E$38:$G$44,3,FALSE))),1)</f>
        <v>1</v>
      </c>
      <c r="P53" s="189">
        <f t="shared" si="3"/>
        <v>1252550</v>
      </c>
      <c r="Q53" s="89" t="str">
        <f t="shared" si="14"/>
        <v>y</v>
      </c>
      <c r="R53" s="89" t="str">
        <f t="shared" si="14"/>
        <v>y</v>
      </c>
      <c r="S53" s="89" t="str">
        <f t="shared" si="14"/>
        <v>y</v>
      </c>
      <c r="T53" s="89" t="str">
        <f t="shared" si="14"/>
        <v>y</v>
      </c>
      <c r="U53" s="254" t="str">
        <f t="shared" si="14"/>
        <v>y</v>
      </c>
      <c r="V53" s="308"/>
      <c r="W53" s="309" cm="1">
        <f t="array" ref="W53">_xlfn.IFS(AND(Q53="y",$D53="Local"), 1, AND(Q53="y",$D53&lt;&gt;"Local"),1.49009696454663%, Q53="","")</f>
        <v>1.49009696454663E-2</v>
      </c>
      <c r="X53" s="272" cm="1">
        <f t="array" ref="X53">_xlfn.IFS(AND(R53="y",$D53="Local"), 1, AND(R53="y",$D53&lt;&gt;"Local"),20.7557554582461%, R53="","")</f>
        <v>0.207557554582461</v>
      </c>
      <c r="Y53" s="272" cm="1">
        <f t="array" ref="Y53">_xlfn.IFS(AND(S53="y",$D53="Local"), 1, AND(S53="y",$D53&lt;&gt;"Local"),30.3499104327336%, S53="","")</f>
        <v>0.30349910432733601</v>
      </c>
      <c r="Z53" s="272" cm="1">
        <f t="array" ref="Z53">_xlfn.IFS(AND(T53="y",$D53="Local"), 1, AND(T53="y",$D53&lt;&gt;"Local"),29.0043833288201%, T53="","")</f>
        <v>0.29004383328820099</v>
      </c>
      <c r="AA53" s="272" cm="1">
        <f t="array" ref="AA53">_xlfn.IFS(AND(U53="y",$D53="Local"), 1, AND(U53="y",$D53&lt;&gt;"Local"),18.3998538156536%, U53="","")</f>
        <v>0.183998538156536</v>
      </c>
      <c r="AB53" s="68">
        <f t="shared" si="5"/>
        <v>1.0000000000000004</v>
      </c>
      <c r="AD53" s="306">
        <f t="shared" si="6"/>
        <v>18664.209529428805</v>
      </c>
      <c r="AE53" s="242">
        <f t="shared" si="7"/>
        <v>259976.21499226143</v>
      </c>
      <c r="AF53" s="242">
        <f t="shared" si="8"/>
        <v>380147.80312520458</v>
      </c>
      <c r="AG53" s="242">
        <f t="shared" si="9"/>
        <v>363294.40338513599</v>
      </c>
      <c r="AH53" s="352">
        <f t="shared" si="10"/>
        <v>230467.36896796906</v>
      </c>
    </row>
    <row r="54" spans="2:34">
      <c r="B54" s="166" t="s">
        <v>182</v>
      </c>
      <c r="C54" s="150"/>
      <c r="D54" s="150" t="s">
        <v>118</v>
      </c>
      <c r="E54" s="150" t="s">
        <v>142</v>
      </c>
      <c r="F54" s="150" t="s">
        <v>605</v>
      </c>
      <c r="G54" s="146">
        <v>56000</v>
      </c>
      <c r="H54" s="155">
        <v>711</v>
      </c>
      <c r="I54" s="135">
        <f t="shared" si="11"/>
        <v>45</v>
      </c>
      <c r="J54" s="147">
        <v>87995</v>
      </c>
      <c r="K54" s="155">
        <v>690.58750262221497</v>
      </c>
      <c r="L54" s="88">
        <f t="shared" si="13"/>
        <v>151.0583374357233</v>
      </c>
      <c r="M54" s="160">
        <v>104319</v>
      </c>
      <c r="N54" s="167">
        <v>2016</v>
      </c>
      <c r="O54" s="167">
        <f>IFERROR(('General Input Sheet'!$G$38/(VLOOKUP(N54,'General Input Sheet'!$E$38:$G$44,3,FALSE))),1)</f>
        <v>1</v>
      </c>
      <c r="P54" s="189">
        <f t="shared" si="3"/>
        <v>192314</v>
      </c>
      <c r="Q54" s="89" t="str">
        <f t="shared" si="14"/>
        <v>y</v>
      </c>
      <c r="R54" s="89" t="str">
        <f t="shared" si="14"/>
        <v>y</v>
      </c>
      <c r="S54" s="89" t="str">
        <f t="shared" si="14"/>
        <v>y</v>
      </c>
      <c r="T54" s="89" t="str">
        <f t="shared" si="14"/>
        <v>y</v>
      </c>
      <c r="U54" s="254" t="str">
        <f t="shared" si="14"/>
        <v>y</v>
      </c>
      <c r="V54" s="308"/>
      <c r="W54" s="309" cm="1">
        <f t="array" ref="W54">_xlfn.IFS(AND(Q54="y",$D54="Local"), 1, AND(Q54="y",$D54&lt;&gt;"Local"),1.49009696454663%, Q54="","")</f>
        <v>1.49009696454663E-2</v>
      </c>
      <c r="X54" s="272" cm="1">
        <f t="array" ref="X54">_xlfn.IFS(AND(R54="y",$D54="Local"), 1, AND(R54="y",$D54&lt;&gt;"Local"),20.7557554582461%, R54="","")</f>
        <v>0.207557554582461</v>
      </c>
      <c r="Y54" s="272" cm="1">
        <f t="array" ref="Y54">_xlfn.IFS(AND(S54="y",$D54="Local"), 1, AND(S54="y",$D54&lt;&gt;"Local"),30.3499104327336%, S54="","")</f>
        <v>0.30349910432733601</v>
      </c>
      <c r="Z54" s="272" cm="1">
        <f t="array" ref="Z54">_xlfn.IFS(AND(T54="y",$D54="Local"), 1, AND(T54="y",$D54&lt;&gt;"Local"),29.0043833288201%, T54="","")</f>
        <v>0.29004383328820099</v>
      </c>
      <c r="AA54" s="272" cm="1">
        <f t="array" ref="AA54">_xlfn.IFS(AND(U54="y",$D54="Local"), 1, AND(U54="y",$D54&lt;&gt;"Local"),18.3998538156536%, U54="","")</f>
        <v>0.183998538156536</v>
      </c>
      <c r="AB54" s="68">
        <f t="shared" si="5"/>
        <v>1.0000000000000004</v>
      </c>
      <c r="AD54" s="306">
        <f t="shared" si="6"/>
        <v>2865.6650763982047</v>
      </c>
      <c r="AE54" s="242">
        <f t="shared" si="7"/>
        <v>39916.223551971387</v>
      </c>
      <c r="AF54" s="242">
        <f t="shared" si="8"/>
        <v>58367.126749607276</v>
      </c>
      <c r="AG54" s="242">
        <f t="shared" si="9"/>
        <v>55779.489754987066</v>
      </c>
      <c r="AH54" s="352">
        <f t="shared" si="10"/>
        <v>35385.494867036046</v>
      </c>
    </row>
    <row r="55" spans="2:34">
      <c r="B55" s="166" t="s">
        <v>183</v>
      </c>
      <c r="C55" s="150"/>
      <c r="D55" s="150" t="s">
        <v>117</v>
      </c>
      <c r="E55" s="150" t="s">
        <v>141</v>
      </c>
      <c r="F55" s="150" t="s">
        <v>606</v>
      </c>
      <c r="G55" s="146"/>
      <c r="H55" s="155"/>
      <c r="I55" s="135">
        <f t="shared" si="11"/>
        <v>0</v>
      </c>
      <c r="J55" s="147"/>
      <c r="K55" s="155">
        <v>51.435135649938601</v>
      </c>
      <c r="L55" s="88">
        <f t="shared" si="13"/>
        <v>590.41294664178167</v>
      </c>
      <c r="M55" s="160">
        <v>30367.97</v>
      </c>
      <c r="N55" s="167">
        <v>2016</v>
      </c>
      <c r="O55" s="167">
        <f>IFERROR(('General Input Sheet'!$G$38/(VLOOKUP(N55,'General Input Sheet'!$E$38:$G$44,3,FALSE))),1)</f>
        <v>1</v>
      </c>
      <c r="P55" s="189">
        <f t="shared" si="3"/>
        <v>30367.97</v>
      </c>
      <c r="Q55" s="89" t="str">
        <f t="shared" si="14"/>
        <v>y</v>
      </c>
      <c r="R55" s="89" t="str">
        <f t="shared" si="14"/>
        <v>y</v>
      </c>
      <c r="S55" s="89" t="str">
        <f t="shared" si="14"/>
        <v>y</v>
      </c>
      <c r="T55" s="89" t="str">
        <f t="shared" si="14"/>
        <v>y</v>
      </c>
      <c r="U55" s="254" t="str">
        <f t="shared" si="14"/>
        <v>y</v>
      </c>
      <c r="V55" s="308"/>
      <c r="W55" s="309" cm="1">
        <f t="array" ref="W55">_xlfn.IFS(AND(Q55="y",$D55="Local"), 1, AND(Q55="y",$D55&lt;&gt;"Local"),1.49009696454663%, Q55="","")</f>
        <v>1.49009696454663E-2</v>
      </c>
      <c r="X55" s="272" cm="1">
        <f t="array" ref="X55">_xlfn.IFS(AND(R55="y",$D55="Local"), 1, AND(R55="y",$D55&lt;&gt;"Local"),20.7557554582461%, R55="","")</f>
        <v>0.207557554582461</v>
      </c>
      <c r="Y55" s="272" cm="1">
        <f t="array" ref="Y55">_xlfn.IFS(AND(S55="y",$D55="Local"), 1, AND(S55="y",$D55&lt;&gt;"Local"),30.3499104327336%, S55="","")</f>
        <v>0.30349910432733601</v>
      </c>
      <c r="Z55" s="272" cm="1">
        <f t="array" ref="Z55">_xlfn.IFS(AND(T55="y",$D55="Local"), 1, AND(T55="y",$D55&lt;&gt;"Local"),29.0043833288201%, T55="","")</f>
        <v>0.29004383328820099</v>
      </c>
      <c r="AA55" s="272" cm="1">
        <f t="array" ref="AA55">_xlfn.IFS(AND(U55="y",$D55="Local"), 1, AND(U55="y",$D55&lt;&gt;"Local"),18.3998538156536%, U55="","")</f>
        <v>0.183998538156536</v>
      </c>
      <c r="AB55" s="68">
        <f t="shared" si="5"/>
        <v>1.0000000000000004</v>
      </c>
      <c r="AD55" s="306">
        <f t="shared" si="6"/>
        <v>452.51219916443102</v>
      </c>
      <c r="AE55" s="242">
        <f t="shared" si="7"/>
        <v>6303.1015908335357</v>
      </c>
      <c r="AF55" s="242">
        <f t="shared" si="8"/>
        <v>9216.6516952394068</v>
      </c>
      <c r="AG55" s="242">
        <f t="shared" si="9"/>
        <v>8808.0424279810868</v>
      </c>
      <c r="AH55" s="352">
        <f t="shared" si="10"/>
        <v>5587.6620867815382</v>
      </c>
    </row>
    <row r="56" spans="2:34">
      <c r="B56" s="166" t="s">
        <v>184</v>
      </c>
      <c r="C56" s="150"/>
      <c r="D56" s="150" t="s">
        <v>118</v>
      </c>
      <c r="E56" s="150" t="s">
        <v>140</v>
      </c>
      <c r="F56" s="150" t="s">
        <v>607</v>
      </c>
      <c r="G56" s="146"/>
      <c r="H56" s="155"/>
      <c r="I56" s="135">
        <f t="shared" si="11"/>
        <v>0</v>
      </c>
      <c r="J56" s="147"/>
      <c r="K56" s="155">
        <v>4111.2620364340901</v>
      </c>
      <c r="L56" s="88">
        <f t="shared" si="13"/>
        <v>159.21458768601013</v>
      </c>
      <c r="M56" s="160">
        <v>654572.89</v>
      </c>
      <c r="N56" s="167">
        <v>2016</v>
      </c>
      <c r="O56" s="167">
        <f>IFERROR(('General Input Sheet'!$G$38/(VLOOKUP(N56,'General Input Sheet'!$E$38:$G$44,3,FALSE))),1)</f>
        <v>1</v>
      </c>
      <c r="P56" s="189">
        <f t="shared" si="3"/>
        <v>654572.89</v>
      </c>
      <c r="Q56" s="89" t="str">
        <f t="shared" si="14"/>
        <v>y</v>
      </c>
      <c r="R56" s="89" t="str">
        <f t="shared" si="14"/>
        <v>y</v>
      </c>
      <c r="S56" s="89" t="str">
        <f t="shared" si="14"/>
        <v>y</v>
      </c>
      <c r="T56" s="89" t="str">
        <f t="shared" si="14"/>
        <v>y</v>
      </c>
      <c r="U56" s="254" t="str">
        <f t="shared" si="14"/>
        <v>y</v>
      </c>
      <c r="V56" s="308"/>
      <c r="W56" s="309" cm="1">
        <f t="array" ref="W56">_xlfn.IFS(AND(Q56="y",$D56="Local"), 1, AND(Q56="y",$D56&lt;&gt;"Local"),1.49009696454663%, Q56="","")</f>
        <v>1.49009696454663E-2</v>
      </c>
      <c r="X56" s="272" cm="1">
        <f t="array" ref="X56">_xlfn.IFS(AND(R56="y",$D56="Local"), 1, AND(R56="y",$D56&lt;&gt;"Local"),20.7557554582461%, R56="","")</f>
        <v>0.207557554582461</v>
      </c>
      <c r="Y56" s="272" cm="1">
        <f t="array" ref="Y56">_xlfn.IFS(AND(S56="y",$D56="Local"), 1, AND(S56="y",$D56&lt;&gt;"Local"),30.3499104327336%, S56="","")</f>
        <v>0.30349910432733601</v>
      </c>
      <c r="Z56" s="272" cm="1">
        <f t="array" ref="Z56">_xlfn.IFS(AND(T56="y",$D56="Local"), 1, AND(T56="y",$D56&lt;&gt;"Local"),29.0043833288201%, T56="","")</f>
        <v>0.29004383328820099</v>
      </c>
      <c r="AA56" s="272" cm="1">
        <f t="array" ref="AA56">_xlfn.IFS(AND(U56="y",$D56="Local"), 1, AND(U56="y",$D56&lt;&gt;"Local"),18.3998538156536%, U56="","")</f>
        <v>0.183998538156536</v>
      </c>
      <c r="AB56" s="68">
        <f t="shared" si="5"/>
        <v>1.0000000000000004</v>
      </c>
      <c r="AD56" s="306">
        <f t="shared" si="6"/>
        <v>9753.7707646351464</v>
      </c>
      <c r="AE56" s="242">
        <f t="shared" si="7"/>
        <v>135861.5483443742</v>
      </c>
      <c r="AF56" s="242">
        <f t="shared" si="8"/>
        <v>198662.28583195576</v>
      </c>
      <c r="AG56" s="242">
        <f t="shared" si="9"/>
        <v>189854.83018213586</v>
      </c>
      <c r="AH56" s="352">
        <f t="shared" si="10"/>
        <v>120440.45487689899</v>
      </c>
    </row>
    <row r="57" spans="2:34">
      <c r="B57" s="166" t="s">
        <v>185</v>
      </c>
      <c r="C57" s="150"/>
      <c r="D57" s="150" t="s">
        <v>118</v>
      </c>
      <c r="E57" s="150" t="s">
        <v>143</v>
      </c>
      <c r="F57" s="150" t="s">
        <v>608</v>
      </c>
      <c r="G57" s="146"/>
      <c r="H57" s="155"/>
      <c r="I57" s="135">
        <f t="shared" si="11"/>
        <v>0</v>
      </c>
      <c r="J57" s="147"/>
      <c r="K57" s="155">
        <v>193.236920452112</v>
      </c>
      <c r="L57" s="88">
        <f t="shared" si="13"/>
        <v>200.96263130846</v>
      </c>
      <c r="M57" s="160">
        <v>38833.4</v>
      </c>
      <c r="N57" s="167">
        <v>2016</v>
      </c>
      <c r="O57" s="167">
        <f>IFERROR(('General Input Sheet'!$G$38/(VLOOKUP(N57,'General Input Sheet'!$E$38:$G$44,3,FALSE))),1)</f>
        <v>1</v>
      </c>
      <c r="P57" s="189">
        <f t="shared" si="3"/>
        <v>38833.4</v>
      </c>
      <c r="Q57" s="89" t="str">
        <f t="shared" si="14"/>
        <v>y</v>
      </c>
      <c r="R57" s="89" t="str">
        <f t="shared" si="14"/>
        <v>y</v>
      </c>
      <c r="S57" s="89" t="str">
        <f t="shared" si="14"/>
        <v>y</v>
      </c>
      <c r="T57" s="89" t="str">
        <f t="shared" si="14"/>
        <v>y</v>
      </c>
      <c r="U57" s="254" t="str">
        <f t="shared" si="14"/>
        <v>y</v>
      </c>
      <c r="V57" s="308"/>
      <c r="W57" s="309" cm="1">
        <f t="array" ref="W57">_xlfn.IFS(AND(Q57="y",$D57="Local"), 1, AND(Q57="y",$D57&lt;&gt;"Local"),1.49009696454663%, Q57="","")</f>
        <v>1.49009696454663E-2</v>
      </c>
      <c r="X57" s="272" cm="1">
        <f t="array" ref="X57">_xlfn.IFS(AND(R57="y",$D57="Local"), 1, AND(R57="y",$D57&lt;&gt;"Local"),20.7557554582461%, R57="","")</f>
        <v>0.207557554582461</v>
      </c>
      <c r="Y57" s="272" cm="1">
        <f t="array" ref="Y57">_xlfn.IFS(AND(S57="y",$D57="Local"), 1, AND(S57="y",$D57&lt;&gt;"Local"),30.3499104327336%, S57="","")</f>
        <v>0.30349910432733601</v>
      </c>
      <c r="Z57" s="272" cm="1">
        <f t="array" ref="Z57">_xlfn.IFS(AND(T57="y",$D57="Local"), 1, AND(T57="y",$D57&lt;&gt;"Local"),29.0043833288201%, T57="","")</f>
        <v>0.29004383328820099</v>
      </c>
      <c r="AA57" s="272" cm="1">
        <f t="array" ref="AA57">_xlfn.IFS(AND(U57="y",$D57="Local"), 1, AND(U57="y",$D57&lt;&gt;"Local"),18.3998538156536%, U57="","")</f>
        <v>0.183998538156536</v>
      </c>
      <c r="AB57" s="68">
        <f t="shared" si="5"/>
        <v>1.0000000000000004</v>
      </c>
      <c r="AD57" s="306">
        <f t="shared" si="6"/>
        <v>578.65531463025081</v>
      </c>
      <c r="AE57" s="242">
        <f t="shared" si="7"/>
        <v>8060.165540122538</v>
      </c>
      <c r="AF57" s="242">
        <f t="shared" si="8"/>
        <v>11785.902117985166</v>
      </c>
      <c r="AG57" s="242">
        <f t="shared" si="9"/>
        <v>11263.388195614021</v>
      </c>
      <c r="AH57" s="352">
        <f t="shared" si="10"/>
        <v>7145.2888316480221</v>
      </c>
    </row>
    <row r="58" spans="2:34">
      <c r="B58" s="166" t="s">
        <v>186</v>
      </c>
      <c r="C58" s="150"/>
      <c r="D58" s="150" t="s">
        <v>118</v>
      </c>
      <c r="E58" s="150" t="s">
        <v>142</v>
      </c>
      <c r="F58" s="150" t="s">
        <v>609</v>
      </c>
      <c r="G58" s="146"/>
      <c r="H58" s="155"/>
      <c r="I58" s="135">
        <f t="shared" si="11"/>
        <v>0</v>
      </c>
      <c r="J58" s="147"/>
      <c r="K58" s="155">
        <v>70.998080150971802</v>
      </c>
      <c r="L58" s="88">
        <f t="shared" si="13"/>
        <v>192.31520022746852</v>
      </c>
      <c r="M58" s="160">
        <v>13654.01</v>
      </c>
      <c r="N58" s="167">
        <v>2016</v>
      </c>
      <c r="O58" s="167">
        <f>IFERROR(('General Input Sheet'!$G$38/(VLOOKUP(N58,'General Input Sheet'!$E$38:$G$44,3,FALSE))),1)</f>
        <v>1</v>
      </c>
      <c r="P58" s="189">
        <f t="shared" si="3"/>
        <v>13654.01</v>
      </c>
      <c r="Q58" s="89" t="str">
        <f t="shared" si="14"/>
        <v>y</v>
      </c>
      <c r="R58" s="89" t="str">
        <f t="shared" si="14"/>
        <v>y</v>
      </c>
      <c r="S58" s="89" t="str">
        <f t="shared" si="14"/>
        <v>y</v>
      </c>
      <c r="T58" s="89" t="str">
        <f t="shared" si="14"/>
        <v>y</v>
      </c>
      <c r="U58" s="254" t="str">
        <f t="shared" si="14"/>
        <v>y</v>
      </c>
      <c r="V58" s="308"/>
      <c r="W58" s="309" cm="1">
        <f t="array" ref="W58">_xlfn.IFS(AND(Q58="y",$D58="Local"), 1, AND(Q58="y",$D58&lt;&gt;"Local"),1.49009696454663%, Q58="","")</f>
        <v>1.49009696454663E-2</v>
      </c>
      <c r="X58" s="272" cm="1">
        <f t="array" ref="X58">_xlfn.IFS(AND(R58="y",$D58="Local"), 1, AND(R58="y",$D58&lt;&gt;"Local"),20.7557554582461%, R58="","")</f>
        <v>0.207557554582461</v>
      </c>
      <c r="Y58" s="272" cm="1">
        <f t="array" ref="Y58">_xlfn.IFS(AND(S58="y",$D58="Local"), 1, AND(S58="y",$D58&lt;&gt;"Local"),30.3499104327336%, S58="","")</f>
        <v>0.30349910432733601</v>
      </c>
      <c r="Z58" s="272" cm="1">
        <f t="array" ref="Z58">_xlfn.IFS(AND(T58="y",$D58="Local"), 1, AND(T58="y",$D58&lt;&gt;"Local"),29.0043833288201%, T58="","")</f>
        <v>0.29004383328820099</v>
      </c>
      <c r="AA58" s="272" cm="1">
        <f t="array" ref="AA58">_xlfn.IFS(AND(U58="y",$D58="Local"), 1, AND(U58="y",$D58&lt;&gt;"Local"),18.3998538156536%, U58="","")</f>
        <v>0.183998538156536</v>
      </c>
      <c r="AB58" s="68">
        <f t="shared" si="5"/>
        <v>1.0000000000000004</v>
      </c>
      <c r="AD58" s="306">
        <f t="shared" si="6"/>
        <v>203.45798854889324</v>
      </c>
      <c r="AE58" s="242">
        <f t="shared" si="7"/>
        <v>2833.9929258444672</v>
      </c>
      <c r="AF58" s="242">
        <f t="shared" si="8"/>
        <v>4143.9798054764879</v>
      </c>
      <c r="AG58" s="242">
        <f t="shared" si="9"/>
        <v>3960.261400155428</v>
      </c>
      <c r="AH58" s="352">
        <f t="shared" si="10"/>
        <v>2512.3178799747229</v>
      </c>
    </row>
    <row r="59" spans="2:34">
      <c r="B59" s="166" t="s">
        <v>187</v>
      </c>
      <c r="C59" s="150"/>
      <c r="D59" s="150" t="s">
        <v>118</v>
      </c>
      <c r="E59" s="150" t="s">
        <v>141</v>
      </c>
      <c r="F59" s="150" t="s">
        <v>610</v>
      </c>
      <c r="G59" s="146"/>
      <c r="H59" s="155"/>
      <c r="I59" s="135">
        <f t="shared" si="11"/>
        <v>0</v>
      </c>
      <c r="J59" s="147"/>
      <c r="K59" s="155">
        <v>16113.5326090216</v>
      </c>
      <c r="L59" s="88">
        <f t="shared" si="13"/>
        <v>4.0497854557022741</v>
      </c>
      <c r="M59" s="160">
        <v>65256.35</v>
      </c>
      <c r="N59" s="167">
        <v>2016</v>
      </c>
      <c r="O59" s="167">
        <f>IFERROR(('General Input Sheet'!$G$38/(VLOOKUP(N59,'General Input Sheet'!$E$38:$G$44,3,FALSE))),1)</f>
        <v>1</v>
      </c>
      <c r="P59" s="189">
        <f t="shared" si="3"/>
        <v>65256.35</v>
      </c>
      <c r="Q59" s="89" t="str">
        <f t="shared" si="14"/>
        <v>y</v>
      </c>
      <c r="R59" s="89" t="str">
        <f t="shared" si="14"/>
        <v>y</v>
      </c>
      <c r="S59" s="89" t="str">
        <f t="shared" si="14"/>
        <v>y</v>
      </c>
      <c r="T59" s="89" t="str">
        <f t="shared" si="14"/>
        <v>y</v>
      </c>
      <c r="U59" s="254" t="str">
        <f t="shared" si="14"/>
        <v>y</v>
      </c>
      <c r="V59" s="308"/>
      <c r="W59" s="309" cm="1">
        <f t="array" ref="W59">_xlfn.IFS(AND(Q59="y",$D59="Local"), 1, AND(Q59="y",$D59&lt;&gt;"Local"),1.49009696454663%, Q59="","")</f>
        <v>1.49009696454663E-2</v>
      </c>
      <c r="X59" s="272" cm="1">
        <f t="array" ref="X59">_xlfn.IFS(AND(R59="y",$D59="Local"), 1, AND(R59="y",$D59&lt;&gt;"Local"),20.7557554582461%, R59="","")</f>
        <v>0.207557554582461</v>
      </c>
      <c r="Y59" s="272" cm="1">
        <f t="array" ref="Y59">_xlfn.IFS(AND(S59="y",$D59="Local"), 1, AND(S59="y",$D59&lt;&gt;"Local"),30.3499104327336%, S59="","")</f>
        <v>0.30349910432733601</v>
      </c>
      <c r="Z59" s="272" cm="1">
        <f t="array" ref="Z59">_xlfn.IFS(AND(T59="y",$D59="Local"), 1, AND(T59="y",$D59&lt;&gt;"Local"),29.0043833288201%, T59="","")</f>
        <v>0.29004383328820099</v>
      </c>
      <c r="AA59" s="272" cm="1">
        <f t="array" ref="AA59">_xlfn.IFS(AND(U59="y",$D59="Local"), 1, AND(U59="y",$D59&lt;&gt;"Local"),18.3998538156536%, U59="","")</f>
        <v>0.183998538156536</v>
      </c>
      <c r="AB59" s="68">
        <f t="shared" si="5"/>
        <v>1.0000000000000004</v>
      </c>
      <c r="AD59" s="306">
        <f t="shared" si="6"/>
        <v>972.38289052392429</v>
      </c>
      <c r="AE59" s="242">
        <f t="shared" si="7"/>
        <v>13544.448426977173</v>
      </c>
      <c r="AF59" s="242">
        <f t="shared" si="8"/>
        <v>19805.243776671145</v>
      </c>
      <c r="AG59" s="242">
        <f t="shared" si="9"/>
        <v>18927.201900396489</v>
      </c>
      <c r="AH59" s="352">
        <f t="shared" si="10"/>
        <v>12007.073005431263</v>
      </c>
    </row>
    <row r="60" spans="2:34">
      <c r="B60" s="166" t="s">
        <v>188</v>
      </c>
      <c r="C60" s="150"/>
      <c r="D60" s="150" t="s">
        <v>118</v>
      </c>
      <c r="E60" s="150" t="s">
        <v>143</v>
      </c>
      <c r="F60" s="150" t="s">
        <v>611</v>
      </c>
      <c r="G60" s="146"/>
      <c r="H60" s="155"/>
      <c r="I60" s="135">
        <f t="shared" si="11"/>
        <v>0</v>
      </c>
      <c r="J60" s="147"/>
      <c r="K60" s="155">
        <v>1041.33876617076</v>
      </c>
      <c r="L60" s="88">
        <f t="shared" si="13"/>
        <v>372.83139993689173</v>
      </c>
      <c r="M60" s="160">
        <v>388243.79</v>
      </c>
      <c r="N60" s="167">
        <v>2016</v>
      </c>
      <c r="O60" s="167">
        <f>IFERROR(('General Input Sheet'!$G$38/(VLOOKUP(N60,'General Input Sheet'!$E$38:$G$44,3,FALSE))),1)</f>
        <v>1</v>
      </c>
      <c r="P60" s="189">
        <f t="shared" si="3"/>
        <v>388243.79</v>
      </c>
      <c r="Q60" s="89" t="str">
        <f t="shared" si="14"/>
        <v>y</v>
      </c>
      <c r="R60" s="89" t="str">
        <f t="shared" si="14"/>
        <v>y</v>
      </c>
      <c r="S60" s="89" t="str">
        <f t="shared" si="14"/>
        <v>y</v>
      </c>
      <c r="T60" s="89" t="str">
        <f t="shared" si="14"/>
        <v>y</v>
      </c>
      <c r="U60" s="254" t="str">
        <f t="shared" si="14"/>
        <v>y</v>
      </c>
      <c r="V60" s="308"/>
      <c r="W60" s="309" cm="1">
        <f t="array" ref="W60">_xlfn.IFS(AND(Q60="y",$D60="Local"), 1, AND(Q60="y",$D60&lt;&gt;"Local"),1.49009696454663%, Q60="","")</f>
        <v>1.49009696454663E-2</v>
      </c>
      <c r="X60" s="272" cm="1">
        <f t="array" ref="X60">_xlfn.IFS(AND(R60="y",$D60="Local"), 1, AND(R60="y",$D60&lt;&gt;"Local"),20.7557554582461%, R60="","")</f>
        <v>0.207557554582461</v>
      </c>
      <c r="Y60" s="272" cm="1">
        <f t="array" ref="Y60">_xlfn.IFS(AND(S60="y",$D60="Local"), 1, AND(S60="y",$D60&lt;&gt;"Local"),30.3499104327336%, S60="","")</f>
        <v>0.30349910432733601</v>
      </c>
      <c r="Z60" s="272" cm="1">
        <f t="array" ref="Z60">_xlfn.IFS(AND(T60="y",$D60="Local"), 1, AND(T60="y",$D60&lt;&gt;"Local"),29.0043833288201%, T60="","")</f>
        <v>0.29004383328820099</v>
      </c>
      <c r="AA60" s="272" cm="1">
        <f t="array" ref="AA60">_xlfn.IFS(AND(U60="y",$D60="Local"), 1, AND(U60="y",$D60&lt;&gt;"Local"),18.3998538156536%, U60="","")</f>
        <v>0.183998538156536</v>
      </c>
      <c r="AB60" s="68">
        <f t="shared" si="5"/>
        <v>1.0000000000000004</v>
      </c>
      <c r="AD60" s="306">
        <f t="shared" si="6"/>
        <v>5785.2089298307901</v>
      </c>
      <c r="AE60" s="242">
        <f t="shared" si="7"/>
        <v>80582.931634226494</v>
      </c>
      <c r="AF60" s="242">
        <f t="shared" si="8"/>
        <v>117831.64252565028</v>
      </c>
      <c r="AG60" s="242">
        <f t="shared" si="9"/>
        <v>112607.71710193927</v>
      </c>
      <c r="AH60" s="352">
        <f t="shared" si="10"/>
        <v>71436.289808353118</v>
      </c>
    </row>
    <row r="61" spans="2:34">
      <c r="B61" s="166" t="s">
        <v>189</v>
      </c>
      <c r="C61" s="150"/>
      <c r="D61" s="150" t="s">
        <v>118</v>
      </c>
      <c r="E61" s="150" t="s">
        <v>142</v>
      </c>
      <c r="F61" s="150" t="s">
        <v>612</v>
      </c>
      <c r="G61" s="146"/>
      <c r="H61" s="155"/>
      <c r="I61" s="135">
        <f t="shared" si="11"/>
        <v>0</v>
      </c>
      <c r="J61" s="147"/>
      <c r="K61" s="155">
        <v>123.426969913261</v>
      </c>
      <c r="L61" s="88">
        <f t="shared" si="13"/>
        <v>198.7026823816162</v>
      </c>
      <c r="M61" s="160">
        <v>24525.27</v>
      </c>
      <c r="N61" s="167">
        <v>2016</v>
      </c>
      <c r="O61" s="167">
        <f>IFERROR(('General Input Sheet'!$G$38/(VLOOKUP(N61,'General Input Sheet'!$E$38:$G$44,3,FALSE))),1)</f>
        <v>1</v>
      </c>
      <c r="P61" s="189">
        <f t="shared" si="3"/>
        <v>24525.27</v>
      </c>
      <c r="Q61" s="89" t="str">
        <f t="shared" si="14"/>
        <v>y</v>
      </c>
      <c r="R61" s="89" t="str">
        <f t="shared" si="14"/>
        <v>y</v>
      </c>
      <c r="S61" s="89" t="str">
        <f t="shared" si="14"/>
        <v>y</v>
      </c>
      <c r="T61" s="89" t="str">
        <f t="shared" si="14"/>
        <v>y</v>
      </c>
      <c r="U61" s="254" t="str">
        <f t="shared" si="14"/>
        <v>y</v>
      </c>
      <c r="V61" s="308"/>
      <c r="W61" s="309" cm="1">
        <f t="array" ref="W61">_xlfn.IFS(AND(Q61="y",$D61="Local"), 1, AND(Q61="y",$D61&lt;&gt;"Local"),1.49009696454663%, Q61="","")</f>
        <v>1.49009696454663E-2</v>
      </c>
      <c r="X61" s="272" cm="1">
        <f t="array" ref="X61">_xlfn.IFS(AND(R61="y",$D61="Local"), 1, AND(R61="y",$D61&lt;&gt;"Local"),20.7557554582461%, R61="","")</f>
        <v>0.207557554582461</v>
      </c>
      <c r="Y61" s="272" cm="1">
        <f t="array" ref="Y61">_xlfn.IFS(AND(S61="y",$D61="Local"), 1, AND(S61="y",$D61&lt;&gt;"Local"),30.3499104327336%, S61="","")</f>
        <v>0.30349910432733601</v>
      </c>
      <c r="Z61" s="272" cm="1">
        <f t="array" ref="Z61">_xlfn.IFS(AND(T61="y",$D61="Local"), 1, AND(T61="y",$D61&lt;&gt;"Local"),29.0043833288201%, T61="","")</f>
        <v>0.29004383328820099</v>
      </c>
      <c r="AA61" s="272" cm="1">
        <f t="array" ref="AA61">_xlfn.IFS(AND(U61="y",$D61="Local"), 1, AND(U61="y",$D61&lt;&gt;"Local"),18.3998538156536%, U61="","")</f>
        <v>0.183998538156536</v>
      </c>
      <c r="AB61" s="68">
        <f t="shared" si="5"/>
        <v>1.0000000000000004</v>
      </c>
      <c r="AD61" s="306">
        <f t="shared" si="6"/>
        <v>365.45030381686513</v>
      </c>
      <c r="AE61" s="242">
        <f t="shared" si="7"/>
        <v>5090.4050666745916</v>
      </c>
      <c r="AF61" s="242">
        <f t="shared" si="8"/>
        <v>7443.3974783860813</v>
      </c>
      <c r="AG61" s="242">
        <f t="shared" si="9"/>
        <v>7113.4033232281145</v>
      </c>
      <c r="AH61" s="352">
        <f t="shared" si="10"/>
        <v>4512.6138278943454</v>
      </c>
    </row>
    <row r="62" spans="2:34">
      <c r="B62" s="166" t="s">
        <v>190</v>
      </c>
      <c r="C62" s="150"/>
      <c r="D62" s="150" t="s">
        <v>118</v>
      </c>
      <c r="E62" s="150" t="s">
        <v>143</v>
      </c>
      <c r="F62" s="150" t="s">
        <v>613</v>
      </c>
      <c r="G62" s="146">
        <v>56000</v>
      </c>
      <c r="H62" s="155">
        <v>14160</v>
      </c>
      <c r="I62" s="135">
        <f t="shared" si="11"/>
        <v>45</v>
      </c>
      <c r="J62" s="147">
        <v>693200</v>
      </c>
      <c r="K62" s="155">
        <v>28163.241262740699</v>
      </c>
      <c r="L62" s="88">
        <f t="shared" si="13"/>
        <v>36.670427610415516</v>
      </c>
      <c r="M62" s="160">
        <v>1032758.1</v>
      </c>
      <c r="N62" s="167">
        <v>2016</v>
      </c>
      <c r="O62" s="167">
        <f>IFERROR(('General Input Sheet'!$G$38/(VLOOKUP(N62,'General Input Sheet'!$E$38:$G$44,3,FALSE))),1)</f>
        <v>1</v>
      </c>
      <c r="P62" s="189">
        <f t="shared" si="3"/>
        <v>1725958.1</v>
      </c>
      <c r="Q62" s="89" t="str">
        <f t="shared" si="14"/>
        <v>y</v>
      </c>
      <c r="R62" s="89" t="str">
        <f t="shared" si="14"/>
        <v>y</v>
      </c>
      <c r="S62" s="89" t="str">
        <f t="shared" si="14"/>
        <v>y</v>
      </c>
      <c r="T62" s="89" t="str">
        <f t="shared" si="14"/>
        <v>y</v>
      </c>
      <c r="U62" s="254" t="str">
        <f t="shared" si="14"/>
        <v>y</v>
      </c>
      <c r="V62" s="308"/>
      <c r="W62" s="309" cm="1">
        <f t="array" ref="W62">_xlfn.IFS(AND(Q62="y",$D62="Local"), 1, AND(Q62="y",$D62&lt;&gt;"Local"),1.49009696454663%, Q62="","")</f>
        <v>1.49009696454663E-2</v>
      </c>
      <c r="X62" s="272" cm="1">
        <f t="array" ref="X62">_xlfn.IFS(AND(R62="y",$D62="Local"), 1, AND(R62="y",$D62&lt;&gt;"Local"),20.7557554582461%, R62="","")</f>
        <v>0.207557554582461</v>
      </c>
      <c r="Y62" s="272" cm="1">
        <f t="array" ref="Y62">_xlfn.IFS(AND(S62="y",$D62="Local"), 1, AND(S62="y",$D62&lt;&gt;"Local"),30.3499104327336%, S62="","")</f>
        <v>0.30349910432733601</v>
      </c>
      <c r="Z62" s="272" cm="1">
        <f t="array" ref="Z62">_xlfn.IFS(AND(T62="y",$D62="Local"), 1, AND(T62="y",$D62&lt;&gt;"Local"),29.0043833288201%, T62="","")</f>
        <v>0.29004383328820099</v>
      </c>
      <c r="AA62" s="272" cm="1">
        <f t="array" ref="AA62">_xlfn.IFS(AND(U62="y",$D62="Local"), 1, AND(U62="y",$D62&lt;&gt;"Local"),18.3998538156536%, U62="","")</f>
        <v>0.183998538156536</v>
      </c>
      <c r="AB62" s="68">
        <f t="shared" si="5"/>
        <v>1.0000000000000004</v>
      </c>
      <c r="AD62" s="306">
        <f t="shared" si="6"/>
        <v>25718.449257446679</v>
      </c>
      <c r="AE62" s="242">
        <f t="shared" si="7"/>
        <v>358235.64254779054</v>
      </c>
      <c r="AF62" s="242">
        <f t="shared" si="8"/>
        <v>523826.73745651048</v>
      </c>
      <c r="AG62" s="242">
        <f t="shared" si="9"/>
        <v>500603.50341881998</v>
      </c>
      <c r="AH62" s="352">
        <f t="shared" si="10"/>
        <v>317573.76731943223</v>
      </c>
    </row>
    <row r="63" spans="2:34">
      <c r="B63" s="166" t="s">
        <v>191</v>
      </c>
      <c r="C63" s="150"/>
      <c r="D63" s="150" t="s">
        <v>116</v>
      </c>
      <c r="E63" s="150" t="s">
        <v>143</v>
      </c>
      <c r="F63" s="150" t="s">
        <v>614</v>
      </c>
      <c r="G63" s="146">
        <v>56000</v>
      </c>
      <c r="H63" s="155">
        <v>495</v>
      </c>
      <c r="I63" s="135">
        <f t="shared" si="11"/>
        <v>45</v>
      </c>
      <c r="J63" s="147">
        <v>78275</v>
      </c>
      <c r="K63" s="155">
        <v>486.67512366831602</v>
      </c>
      <c r="L63" s="88">
        <f t="shared" si="13"/>
        <v>99.204228143175968</v>
      </c>
      <c r="M63" s="160">
        <v>48280.23</v>
      </c>
      <c r="N63" s="167">
        <v>2016</v>
      </c>
      <c r="O63" s="167">
        <f>IFERROR(('General Input Sheet'!$G$38/(VLOOKUP(N63,'General Input Sheet'!$E$38:$G$44,3,FALSE))),1)</f>
        <v>1</v>
      </c>
      <c r="P63" s="189">
        <f t="shared" si="3"/>
        <v>126555.23000000001</v>
      </c>
      <c r="Q63" s="89" t="str">
        <f t="shared" si="14"/>
        <v/>
      </c>
      <c r="R63" s="89" t="str">
        <f t="shared" si="14"/>
        <v/>
      </c>
      <c r="S63" s="89" t="str">
        <f t="shared" si="14"/>
        <v/>
      </c>
      <c r="T63" s="89" t="str">
        <f t="shared" si="14"/>
        <v/>
      </c>
      <c r="U63" s="254" t="str">
        <f t="shared" si="14"/>
        <v>y</v>
      </c>
      <c r="V63" s="308"/>
      <c r="W63" s="309" t="str" cm="1">
        <f t="array" ref="W63">_xlfn.IFS(AND(Q63="y",$D63="Local"), 1, AND(Q63="y",$D63&lt;&gt;"Local"),1.49009696454663%, Q63="","")</f>
        <v/>
      </c>
      <c r="X63" s="272" t="str" cm="1">
        <f t="array" ref="X63">_xlfn.IFS(AND(R63="y",$D63="Local"), 1, AND(R63="y",$D63&lt;&gt;"Local"),20.7557554582461%, R63="","")</f>
        <v/>
      </c>
      <c r="Y63" s="272" t="str" cm="1">
        <f t="array" ref="Y63">_xlfn.IFS(AND(S63="y",$D63="Local"), 1, AND(S63="y",$D63&lt;&gt;"Local"),30.3499104327336%, S63="","")</f>
        <v/>
      </c>
      <c r="Z63" s="272" t="str" cm="1">
        <f t="array" ref="Z63">_xlfn.IFS(AND(T63="y",$D63="Local"), 1, AND(T63="y",$D63&lt;&gt;"Local"),29.0043833288201%, T63="","")</f>
        <v/>
      </c>
      <c r="AA63" s="272" cm="1">
        <f t="array" ref="AA63">_xlfn.IFS(AND(U63="y",$D63="Local"), 1, AND(U63="y",$D63&lt;&gt;"Local"),18.3998538156536%, U63="","")</f>
        <v>1</v>
      </c>
      <c r="AB63" s="68">
        <f t="shared" si="5"/>
        <v>1</v>
      </c>
      <c r="AD63" s="306" t="str">
        <f t="shared" si="6"/>
        <v/>
      </c>
      <c r="AE63" s="242" t="str">
        <f t="shared" si="7"/>
        <v/>
      </c>
      <c r="AF63" s="242" t="str">
        <f t="shared" si="8"/>
        <v/>
      </c>
      <c r="AG63" s="242" t="str">
        <f t="shared" si="9"/>
        <v/>
      </c>
      <c r="AH63" s="352">
        <f t="shared" si="10"/>
        <v>126555.23000000001</v>
      </c>
    </row>
    <row r="64" spans="2:34">
      <c r="B64" s="166" t="s">
        <v>192</v>
      </c>
      <c r="C64" s="150"/>
      <c r="D64" s="150" t="s">
        <v>118</v>
      </c>
      <c r="E64" s="150" t="s">
        <v>141</v>
      </c>
      <c r="F64" s="150" t="s">
        <v>615</v>
      </c>
      <c r="G64" s="146"/>
      <c r="H64" s="155"/>
      <c r="I64" s="135">
        <f t="shared" si="11"/>
        <v>0</v>
      </c>
      <c r="J64" s="147"/>
      <c r="K64" s="155">
        <v>3.6973355470747702</v>
      </c>
      <c r="L64" s="88">
        <f t="shared" si="13"/>
        <v>111.29365857138922</v>
      </c>
      <c r="M64" s="160">
        <v>411.49</v>
      </c>
      <c r="N64" s="167">
        <v>2016</v>
      </c>
      <c r="O64" s="167">
        <f>IFERROR(('General Input Sheet'!$G$38/(VLOOKUP(N64,'General Input Sheet'!$E$38:$G$44,3,FALSE))),1)</f>
        <v>1</v>
      </c>
      <c r="P64" s="189">
        <f t="shared" si="3"/>
        <v>411.49</v>
      </c>
      <c r="Q64" s="89" t="str">
        <f t="shared" si="14"/>
        <v>y</v>
      </c>
      <c r="R64" s="89" t="str">
        <f t="shared" si="14"/>
        <v>y</v>
      </c>
      <c r="S64" s="89" t="str">
        <f t="shared" si="14"/>
        <v>y</v>
      </c>
      <c r="T64" s="89" t="str">
        <f t="shared" si="14"/>
        <v>y</v>
      </c>
      <c r="U64" s="254" t="str">
        <f t="shared" si="14"/>
        <v>y</v>
      </c>
      <c r="V64" s="308"/>
      <c r="W64" s="309" cm="1">
        <f t="array" ref="W64">_xlfn.IFS(AND(Q64="y",$D64="Local"), 1, AND(Q64="y",$D64&lt;&gt;"Local"),1.49009696454663%, Q64="","")</f>
        <v>1.49009696454663E-2</v>
      </c>
      <c r="X64" s="272" cm="1">
        <f t="array" ref="X64">_xlfn.IFS(AND(R64="y",$D64="Local"), 1, AND(R64="y",$D64&lt;&gt;"Local"),20.7557554582461%, R64="","")</f>
        <v>0.207557554582461</v>
      </c>
      <c r="Y64" s="272" cm="1">
        <f t="array" ref="Y64">_xlfn.IFS(AND(S64="y",$D64="Local"), 1, AND(S64="y",$D64&lt;&gt;"Local"),30.3499104327336%, S64="","")</f>
        <v>0.30349910432733601</v>
      </c>
      <c r="Z64" s="272" cm="1">
        <f t="array" ref="Z64">_xlfn.IFS(AND(T64="y",$D64="Local"), 1, AND(T64="y",$D64&lt;&gt;"Local"),29.0043833288201%, T64="","")</f>
        <v>0.29004383328820099</v>
      </c>
      <c r="AA64" s="272" cm="1">
        <f t="array" ref="AA64">_xlfn.IFS(AND(U64="y",$D64="Local"), 1, AND(U64="y",$D64&lt;&gt;"Local"),18.3998538156536%, U64="","")</f>
        <v>0.183998538156536</v>
      </c>
      <c r="AB64" s="68">
        <f t="shared" si="5"/>
        <v>1.0000000000000004</v>
      </c>
      <c r="AD64" s="306">
        <f t="shared" si="6"/>
        <v>6.1315999994129253</v>
      </c>
      <c r="AE64" s="242">
        <f t="shared" si="7"/>
        <v>85.407858135136848</v>
      </c>
      <c r="AF64" s="242">
        <f t="shared" si="8"/>
        <v>124.88684643965546</v>
      </c>
      <c r="AG64" s="242">
        <f t="shared" si="9"/>
        <v>119.35013695976178</v>
      </c>
      <c r="AH64" s="352">
        <f t="shared" si="10"/>
        <v>75.713558466032964</v>
      </c>
    </row>
    <row r="65" spans="2:34">
      <c r="B65" s="166" t="s">
        <v>193</v>
      </c>
      <c r="C65" s="150"/>
      <c r="D65" s="150" t="s">
        <v>118</v>
      </c>
      <c r="E65" s="150" t="s">
        <v>142</v>
      </c>
      <c r="F65" s="150" t="s">
        <v>616</v>
      </c>
      <c r="G65" s="146"/>
      <c r="H65" s="155"/>
      <c r="I65" s="135">
        <f t="shared" si="11"/>
        <v>0</v>
      </c>
      <c r="J65" s="147"/>
      <c r="K65" s="155">
        <v>605.72049651468205</v>
      </c>
      <c r="L65" s="88">
        <f t="shared" si="13"/>
        <v>189.445298054593</v>
      </c>
      <c r="M65" s="160">
        <v>114750.9</v>
      </c>
      <c r="N65" s="167">
        <v>2016</v>
      </c>
      <c r="O65" s="167">
        <f>IFERROR(('General Input Sheet'!$G$38/(VLOOKUP(N65,'General Input Sheet'!$E$38:$G$44,3,FALSE))),1)</f>
        <v>1</v>
      </c>
      <c r="P65" s="189">
        <f t="shared" si="3"/>
        <v>114750.9</v>
      </c>
      <c r="Q65" s="89" t="str">
        <f t="shared" si="14"/>
        <v>y</v>
      </c>
      <c r="R65" s="89" t="str">
        <f t="shared" si="14"/>
        <v>y</v>
      </c>
      <c r="S65" s="89" t="str">
        <f t="shared" si="14"/>
        <v>y</v>
      </c>
      <c r="T65" s="89" t="str">
        <f t="shared" si="14"/>
        <v>y</v>
      </c>
      <c r="U65" s="254" t="str">
        <f t="shared" si="14"/>
        <v>y</v>
      </c>
      <c r="V65" s="308"/>
      <c r="W65" s="309" cm="1">
        <f t="array" ref="W65">_xlfn.IFS(AND(Q65="y",$D65="Local"), 1, AND(Q65="y",$D65&lt;&gt;"Local"),1.49009696454663%, Q65="","")</f>
        <v>1.49009696454663E-2</v>
      </c>
      <c r="X65" s="272" cm="1">
        <f t="array" ref="X65">_xlfn.IFS(AND(R65="y",$D65="Local"), 1, AND(R65="y",$D65&lt;&gt;"Local"),20.7557554582461%, R65="","")</f>
        <v>0.207557554582461</v>
      </c>
      <c r="Y65" s="272" cm="1">
        <f t="array" ref="Y65">_xlfn.IFS(AND(S65="y",$D65="Local"), 1, AND(S65="y",$D65&lt;&gt;"Local"),30.3499104327336%, S65="","")</f>
        <v>0.30349910432733601</v>
      </c>
      <c r="Z65" s="272" cm="1">
        <f t="array" ref="Z65">_xlfn.IFS(AND(T65="y",$D65="Local"), 1, AND(T65="y",$D65&lt;&gt;"Local"),29.0043833288201%, T65="","")</f>
        <v>0.29004383328820099</v>
      </c>
      <c r="AA65" s="272" cm="1">
        <f t="array" ref="AA65">_xlfn.IFS(AND(U65="y",$D65="Local"), 1, AND(U65="y",$D65&lt;&gt;"Local"),18.3998538156536%, U65="","")</f>
        <v>0.183998538156536</v>
      </c>
      <c r="AB65" s="68">
        <f t="shared" si="5"/>
        <v>1.0000000000000004</v>
      </c>
      <c r="AD65" s="306">
        <f t="shared" si="6"/>
        <v>1709.899677689938</v>
      </c>
      <c r="AE65" s="242">
        <f t="shared" si="7"/>
        <v>23817.416190136515</v>
      </c>
      <c r="AF65" s="242">
        <f t="shared" si="8"/>
        <v>34826.795370755688</v>
      </c>
      <c r="AG65" s="242">
        <f t="shared" si="9"/>
        <v>33282.790909271011</v>
      </c>
      <c r="AH65" s="352">
        <f t="shared" si="10"/>
        <v>21113.997852146837</v>
      </c>
    </row>
    <row r="66" spans="2:34">
      <c r="B66" s="166" t="s">
        <v>194</v>
      </c>
      <c r="C66" s="150"/>
      <c r="D66" s="150" t="s">
        <v>117</v>
      </c>
      <c r="E66" s="150" t="s">
        <v>141</v>
      </c>
      <c r="F66" s="150" t="s">
        <v>617</v>
      </c>
      <c r="G66" s="146"/>
      <c r="H66" s="155"/>
      <c r="I66" s="135">
        <f t="shared" si="11"/>
        <v>0</v>
      </c>
      <c r="J66" s="147"/>
      <c r="K66" s="155">
        <v>677.68388418698498</v>
      </c>
      <c r="L66" s="88">
        <f t="shared" si="13"/>
        <v>594.98854762310702</v>
      </c>
      <c r="M66" s="160">
        <v>403214.15</v>
      </c>
      <c r="N66" s="167">
        <v>2016</v>
      </c>
      <c r="O66" s="167">
        <f>IFERROR(('General Input Sheet'!$G$38/(VLOOKUP(N66,'General Input Sheet'!$E$38:$G$44,3,FALSE))),1)</f>
        <v>1</v>
      </c>
      <c r="P66" s="189">
        <f t="shared" si="3"/>
        <v>403214.15</v>
      </c>
      <c r="Q66" s="89" t="str">
        <f t="shared" si="14"/>
        <v>y</v>
      </c>
      <c r="R66" s="89" t="str">
        <f t="shared" si="14"/>
        <v>y</v>
      </c>
      <c r="S66" s="89" t="str">
        <f t="shared" si="14"/>
        <v>y</v>
      </c>
      <c r="T66" s="89" t="str">
        <f t="shared" si="14"/>
        <v>y</v>
      </c>
      <c r="U66" s="254" t="str">
        <f t="shared" si="14"/>
        <v>y</v>
      </c>
      <c r="V66" s="308"/>
      <c r="W66" s="309" cm="1">
        <f t="array" ref="W66">_xlfn.IFS(AND(Q66="y",$D66="Local"), 1, AND(Q66="y",$D66&lt;&gt;"Local"),1.49009696454663%, Q66="","")</f>
        <v>1.49009696454663E-2</v>
      </c>
      <c r="X66" s="272" cm="1">
        <f t="array" ref="X66">_xlfn.IFS(AND(R66="y",$D66="Local"), 1, AND(R66="y",$D66&lt;&gt;"Local"),20.7557554582461%, R66="","")</f>
        <v>0.207557554582461</v>
      </c>
      <c r="Y66" s="272" cm="1">
        <f t="array" ref="Y66">_xlfn.IFS(AND(S66="y",$D66="Local"), 1, AND(S66="y",$D66&lt;&gt;"Local"),30.3499104327336%, S66="","")</f>
        <v>0.30349910432733601</v>
      </c>
      <c r="Z66" s="272" cm="1">
        <f t="array" ref="Z66">_xlfn.IFS(AND(T66="y",$D66="Local"), 1, AND(T66="y",$D66&lt;&gt;"Local"),29.0043833288201%, T66="","")</f>
        <v>0.29004383328820099</v>
      </c>
      <c r="AA66" s="272" cm="1">
        <f t="array" ref="AA66">_xlfn.IFS(AND(U66="y",$D66="Local"), 1, AND(U66="y",$D66&lt;&gt;"Local"),18.3998538156536%, U66="","")</f>
        <v>0.183998538156536</v>
      </c>
      <c r="AB66" s="68">
        <f t="shared" si="5"/>
        <v>1.0000000000000004</v>
      </c>
      <c r="AD66" s="306">
        <f t="shared" si="6"/>
        <v>6008.281809772493</v>
      </c>
      <c r="AE66" s="242">
        <f t="shared" si="7"/>
        <v>83690.142947045591</v>
      </c>
      <c r="AF66" s="242">
        <f t="shared" si="8"/>
        <v>122375.13337710807</v>
      </c>
      <c r="AG66" s="242">
        <f t="shared" si="9"/>
        <v>116949.77770204363</v>
      </c>
      <c r="AH66" s="352">
        <f t="shared" si="10"/>
        <v>74190.814164030206</v>
      </c>
    </row>
    <row r="67" spans="2:34">
      <c r="B67" s="166" t="s">
        <v>195</v>
      </c>
      <c r="C67" s="150"/>
      <c r="D67" s="150" t="s">
        <v>116</v>
      </c>
      <c r="E67" s="150" t="s">
        <v>143</v>
      </c>
      <c r="F67" s="150" t="s">
        <v>618</v>
      </c>
      <c r="G67" s="146"/>
      <c r="H67" s="155"/>
      <c r="I67" s="135">
        <f t="shared" si="11"/>
        <v>0</v>
      </c>
      <c r="J67" s="147"/>
      <c r="K67" s="155">
        <v>124.10056516670301</v>
      </c>
      <c r="L67" s="88">
        <f t="shared" si="13"/>
        <v>718.3353265172592</v>
      </c>
      <c r="M67" s="160">
        <v>89145.82</v>
      </c>
      <c r="N67" s="167">
        <v>2016</v>
      </c>
      <c r="O67" s="167">
        <f>IFERROR(('General Input Sheet'!$G$38/(VLOOKUP(N67,'General Input Sheet'!$E$38:$G$44,3,FALSE))),1)</f>
        <v>1</v>
      </c>
      <c r="P67" s="189">
        <f t="shared" si="3"/>
        <v>89145.82</v>
      </c>
      <c r="Q67" s="89" t="str">
        <f t="shared" si="14"/>
        <v/>
      </c>
      <c r="R67" s="89" t="str">
        <f t="shared" si="14"/>
        <v/>
      </c>
      <c r="S67" s="89" t="str">
        <f t="shared" si="14"/>
        <v/>
      </c>
      <c r="T67" s="89" t="str">
        <f t="shared" si="14"/>
        <v/>
      </c>
      <c r="U67" s="254" t="str">
        <f t="shared" si="14"/>
        <v>y</v>
      </c>
      <c r="V67" s="308"/>
      <c r="W67" s="309" t="str" cm="1">
        <f t="array" ref="W67">_xlfn.IFS(AND(Q67="y",$D67="Local"), 1, AND(Q67="y",$D67&lt;&gt;"Local"),1.49009696454663%, Q67="","")</f>
        <v/>
      </c>
      <c r="X67" s="272" t="str" cm="1">
        <f t="array" ref="X67">_xlfn.IFS(AND(R67="y",$D67="Local"), 1, AND(R67="y",$D67&lt;&gt;"Local"),20.7557554582461%, R67="","")</f>
        <v/>
      </c>
      <c r="Y67" s="272" t="str" cm="1">
        <f t="array" ref="Y67">_xlfn.IFS(AND(S67="y",$D67="Local"), 1, AND(S67="y",$D67&lt;&gt;"Local"),30.3499104327336%, S67="","")</f>
        <v/>
      </c>
      <c r="Z67" s="272" t="str" cm="1">
        <f t="array" ref="Z67">_xlfn.IFS(AND(T67="y",$D67="Local"), 1, AND(T67="y",$D67&lt;&gt;"Local"),29.0043833288201%, T67="","")</f>
        <v/>
      </c>
      <c r="AA67" s="272" cm="1">
        <f t="array" ref="AA67">_xlfn.IFS(AND(U67="y",$D67="Local"), 1, AND(U67="y",$D67&lt;&gt;"Local"),18.3998538156536%, U67="","")</f>
        <v>1</v>
      </c>
      <c r="AB67" s="68">
        <f t="shared" si="5"/>
        <v>1</v>
      </c>
      <c r="AD67" s="306" t="str">
        <f t="shared" si="6"/>
        <v/>
      </c>
      <c r="AE67" s="242" t="str">
        <f t="shared" si="7"/>
        <v/>
      </c>
      <c r="AF67" s="242" t="str">
        <f t="shared" si="8"/>
        <v/>
      </c>
      <c r="AG67" s="242" t="str">
        <f t="shared" si="9"/>
        <v/>
      </c>
      <c r="AH67" s="352">
        <f t="shared" si="10"/>
        <v>89145.82</v>
      </c>
    </row>
    <row r="68" spans="2:34">
      <c r="B68" s="166" t="s">
        <v>196</v>
      </c>
      <c r="C68" s="150"/>
      <c r="D68" s="150" t="s">
        <v>116</v>
      </c>
      <c r="E68" s="150" t="s">
        <v>141</v>
      </c>
      <c r="F68" s="150" t="s">
        <v>619</v>
      </c>
      <c r="G68" s="146"/>
      <c r="H68" s="155"/>
      <c r="I68" s="135">
        <f t="shared" si="11"/>
        <v>0</v>
      </c>
      <c r="J68" s="147"/>
      <c r="K68" s="155">
        <v>623.14923692121101</v>
      </c>
      <c r="L68" s="88">
        <f t="shared" si="13"/>
        <v>152.25075211316624</v>
      </c>
      <c r="M68" s="160">
        <v>94874.94</v>
      </c>
      <c r="N68" s="167">
        <v>2016</v>
      </c>
      <c r="O68" s="167">
        <f>IFERROR(('General Input Sheet'!$G$38/(VLOOKUP(N68,'General Input Sheet'!$E$38:$G$44,3,FALSE))),1)</f>
        <v>1</v>
      </c>
      <c r="P68" s="189">
        <f t="shared" si="3"/>
        <v>94874.94</v>
      </c>
      <c r="Q68" s="89" t="str">
        <f t="shared" si="14"/>
        <v/>
      </c>
      <c r="R68" s="89" t="str">
        <f t="shared" si="14"/>
        <v/>
      </c>
      <c r="S68" s="89" t="str">
        <f t="shared" si="14"/>
        <v>y</v>
      </c>
      <c r="T68" s="89" t="str">
        <f t="shared" si="14"/>
        <v/>
      </c>
      <c r="U68" s="254" t="str">
        <f t="shared" si="14"/>
        <v/>
      </c>
      <c r="V68" s="308"/>
      <c r="W68" s="309" t="str" cm="1">
        <f t="array" ref="W68">_xlfn.IFS(AND(Q68="y",$D68="Local"), 1, AND(Q68="y",$D68&lt;&gt;"Local"),1.49009696454663%, Q68="","")</f>
        <v/>
      </c>
      <c r="X68" s="272" t="str" cm="1">
        <f t="array" ref="X68">_xlfn.IFS(AND(R68="y",$D68="Local"), 1, AND(R68="y",$D68&lt;&gt;"Local"),20.7557554582461%, R68="","")</f>
        <v/>
      </c>
      <c r="Y68" s="272" cm="1">
        <f t="array" ref="Y68">_xlfn.IFS(AND(S68="y",$D68="Local"), 1, AND(S68="y",$D68&lt;&gt;"Local"),30.3499104327336%, S68="","")</f>
        <v>1</v>
      </c>
      <c r="Z68" s="272" t="str" cm="1">
        <f t="array" ref="Z68">_xlfn.IFS(AND(T68="y",$D68="Local"), 1, AND(T68="y",$D68&lt;&gt;"Local"),29.0043833288201%, T68="","")</f>
        <v/>
      </c>
      <c r="AA68" s="272" t="str" cm="1">
        <f t="array" ref="AA68">_xlfn.IFS(AND(U68="y",$D68="Local"), 1, AND(U68="y",$D68&lt;&gt;"Local"),18.3998538156536%, U68="","")</f>
        <v/>
      </c>
      <c r="AB68" s="68">
        <f t="shared" si="5"/>
        <v>1</v>
      </c>
      <c r="AD68" s="306" t="str">
        <f t="shared" si="6"/>
        <v/>
      </c>
      <c r="AE68" s="242" t="str">
        <f t="shared" si="7"/>
        <v/>
      </c>
      <c r="AF68" s="242">
        <f t="shared" si="8"/>
        <v>94874.94</v>
      </c>
      <c r="AG68" s="242" t="str">
        <f t="shared" si="9"/>
        <v/>
      </c>
      <c r="AH68" s="352" t="str">
        <f t="shared" si="10"/>
        <v/>
      </c>
    </row>
    <row r="69" spans="2:34">
      <c r="B69" s="166" t="s">
        <v>197</v>
      </c>
      <c r="C69" s="150"/>
      <c r="D69" s="150" t="s">
        <v>118</v>
      </c>
      <c r="E69" s="150" t="s">
        <v>143</v>
      </c>
      <c r="F69" s="150" t="s">
        <v>620</v>
      </c>
      <c r="G69" s="146"/>
      <c r="H69" s="155"/>
      <c r="I69" s="135">
        <f t="shared" si="11"/>
        <v>0</v>
      </c>
      <c r="J69" s="147"/>
      <c r="K69" s="155">
        <v>184.76583890281401</v>
      </c>
      <c r="L69" s="88">
        <f t="shared" si="13"/>
        <v>317.35574253443315</v>
      </c>
      <c r="M69" s="160">
        <v>58636.5</v>
      </c>
      <c r="N69" s="167">
        <v>2016</v>
      </c>
      <c r="O69" s="167">
        <f>IFERROR(('General Input Sheet'!$G$38/(VLOOKUP(N69,'General Input Sheet'!$E$38:$G$44,3,FALSE))),1)</f>
        <v>1</v>
      </c>
      <c r="P69" s="189">
        <f t="shared" si="3"/>
        <v>58636.5</v>
      </c>
      <c r="Q69" s="89" t="str">
        <f t="shared" si="14"/>
        <v>y</v>
      </c>
      <c r="R69" s="89" t="str">
        <f t="shared" si="14"/>
        <v>y</v>
      </c>
      <c r="S69" s="89" t="str">
        <f t="shared" si="14"/>
        <v>y</v>
      </c>
      <c r="T69" s="89" t="str">
        <f t="shared" si="14"/>
        <v>y</v>
      </c>
      <c r="U69" s="254" t="str">
        <f t="shared" si="14"/>
        <v>y</v>
      </c>
      <c r="V69" s="308"/>
      <c r="W69" s="309" cm="1">
        <f t="array" ref="W69">_xlfn.IFS(AND(Q69="y",$D69="Local"), 1, AND(Q69="y",$D69&lt;&gt;"Local"),1.49009696454663%, Q69="","")</f>
        <v>1.49009696454663E-2</v>
      </c>
      <c r="X69" s="272" cm="1">
        <f t="array" ref="X69">_xlfn.IFS(AND(R69="y",$D69="Local"), 1, AND(R69="y",$D69&lt;&gt;"Local"),20.7557554582461%, R69="","")</f>
        <v>0.207557554582461</v>
      </c>
      <c r="Y69" s="272" cm="1">
        <f t="array" ref="Y69">_xlfn.IFS(AND(S69="y",$D69="Local"), 1, AND(S69="y",$D69&lt;&gt;"Local"),30.3499104327336%, S69="","")</f>
        <v>0.30349910432733601</v>
      </c>
      <c r="Z69" s="272" cm="1">
        <f t="array" ref="Z69">_xlfn.IFS(AND(T69="y",$D69="Local"), 1, AND(T69="y",$D69&lt;&gt;"Local"),29.0043833288201%, T69="","")</f>
        <v>0.29004383328820099</v>
      </c>
      <c r="AA69" s="272" cm="1">
        <f t="array" ref="AA69">_xlfn.IFS(AND(U69="y",$D69="Local"), 1, AND(U69="y",$D69&lt;&gt;"Local"),18.3998538156536%, U69="","")</f>
        <v>0.183998538156536</v>
      </c>
      <c r="AB69" s="68">
        <f t="shared" si="5"/>
        <v>1.0000000000000004</v>
      </c>
      <c r="AD69" s="306">
        <f t="shared" si="6"/>
        <v>873.74070661638427</v>
      </c>
      <c r="AE69" s="242">
        <f t="shared" si="7"/>
        <v>12170.44854927447</v>
      </c>
      <c r="AF69" s="242">
        <f t="shared" si="8"/>
        <v>17796.125230889833</v>
      </c>
      <c r="AG69" s="242">
        <f t="shared" si="9"/>
        <v>17007.155230603592</v>
      </c>
      <c r="AH69" s="352">
        <f t="shared" si="10"/>
        <v>10789.030282615719</v>
      </c>
    </row>
    <row r="70" spans="2:34">
      <c r="B70" s="166" t="s">
        <v>198</v>
      </c>
      <c r="C70" s="150"/>
      <c r="D70" s="150" t="s">
        <v>116</v>
      </c>
      <c r="E70" s="150" t="s">
        <v>142</v>
      </c>
      <c r="F70" s="150" t="s">
        <v>621</v>
      </c>
      <c r="G70" s="146"/>
      <c r="H70" s="155"/>
      <c r="I70" s="135">
        <f t="shared" si="11"/>
        <v>0</v>
      </c>
      <c r="J70" s="147"/>
      <c r="K70" s="155">
        <v>404.67137574554198</v>
      </c>
      <c r="L70" s="88">
        <f t="shared" si="13"/>
        <v>496.69932702724475</v>
      </c>
      <c r="M70" s="160">
        <v>201000</v>
      </c>
      <c r="N70" s="167">
        <v>2016</v>
      </c>
      <c r="O70" s="167">
        <f>IFERROR(('General Input Sheet'!$G$38/(VLOOKUP(N70,'General Input Sheet'!$E$38:$G$44,3,FALSE))),1)</f>
        <v>1</v>
      </c>
      <c r="P70" s="189">
        <f t="shared" si="3"/>
        <v>201000</v>
      </c>
      <c r="Q70" s="89" t="str">
        <f t="shared" si="14"/>
        <v/>
      </c>
      <c r="R70" s="89" t="str">
        <f t="shared" si="14"/>
        <v/>
      </c>
      <c r="S70" s="89" t="str">
        <f t="shared" si="14"/>
        <v/>
      </c>
      <c r="T70" s="89" t="str">
        <f t="shared" si="14"/>
        <v>y</v>
      </c>
      <c r="U70" s="254" t="str">
        <f t="shared" si="14"/>
        <v/>
      </c>
      <c r="V70" s="308"/>
      <c r="W70" s="309" t="str" cm="1">
        <f t="array" ref="W70">_xlfn.IFS(AND(Q70="y",$D70="Local"), 1, AND(Q70="y",$D70&lt;&gt;"Local"),1.49009696454663%, Q70="","")</f>
        <v/>
      </c>
      <c r="X70" s="272" t="str" cm="1">
        <f t="array" ref="X70">_xlfn.IFS(AND(R70="y",$D70="Local"), 1, AND(R70="y",$D70&lt;&gt;"Local"),20.7557554582461%, R70="","")</f>
        <v/>
      </c>
      <c r="Y70" s="272" t="str" cm="1">
        <f t="array" ref="Y70">_xlfn.IFS(AND(S70="y",$D70="Local"), 1, AND(S70="y",$D70&lt;&gt;"Local"),30.3499104327336%, S70="","")</f>
        <v/>
      </c>
      <c r="Z70" s="272" cm="1">
        <f t="array" ref="Z70">_xlfn.IFS(AND(T70="y",$D70="Local"), 1, AND(T70="y",$D70&lt;&gt;"Local"),29.0043833288201%, T70="","")</f>
        <v>1</v>
      </c>
      <c r="AA70" s="272" t="str" cm="1">
        <f t="array" ref="AA70">_xlfn.IFS(AND(U70="y",$D70="Local"), 1, AND(U70="y",$D70&lt;&gt;"Local"),18.3998538156536%, U70="","")</f>
        <v/>
      </c>
      <c r="AB70" s="68">
        <f t="shared" si="5"/>
        <v>1</v>
      </c>
      <c r="AD70" s="306" t="str">
        <f t="shared" si="6"/>
        <v/>
      </c>
      <c r="AE70" s="242" t="str">
        <f t="shared" si="7"/>
        <v/>
      </c>
      <c r="AF70" s="242" t="str">
        <f t="shared" si="8"/>
        <v/>
      </c>
      <c r="AG70" s="242">
        <f t="shared" si="9"/>
        <v>201000</v>
      </c>
      <c r="AH70" s="352" t="str">
        <f t="shared" si="10"/>
        <v/>
      </c>
    </row>
    <row r="71" spans="2:34">
      <c r="B71" s="166" t="s">
        <v>199</v>
      </c>
      <c r="C71" s="150"/>
      <c r="D71" s="150" t="s">
        <v>116</v>
      </c>
      <c r="E71" s="150" t="s">
        <v>143</v>
      </c>
      <c r="F71" s="150" t="s">
        <v>622</v>
      </c>
      <c r="G71" s="146"/>
      <c r="H71" s="155"/>
      <c r="I71" s="135">
        <f t="shared" si="11"/>
        <v>0</v>
      </c>
      <c r="J71" s="147"/>
      <c r="K71" s="155">
        <v>374.98185140545797</v>
      </c>
      <c r="L71" s="88">
        <f t="shared" si="13"/>
        <v>744.23444482448883</v>
      </c>
      <c r="M71" s="160">
        <v>279074.40999999997</v>
      </c>
      <c r="N71" s="167">
        <v>2016</v>
      </c>
      <c r="O71" s="167">
        <f>IFERROR(('General Input Sheet'!$G$38/(VLOOKUP(N71,'General Input Sheet'!$E$38:$G$44,3,FALSE))),1)</f>
        <v>1</v>
      </c>
      <c r="P71" s="189">
        <f t="shared" si="3"/>
        <v>279074.40999999997</v>
      </c>
      <c r="Q71" s="89" t="str">
        <f t="shared" si="14"/>
        <v/>
      </c>
      <c r="R71" s="89" t="str">
        <f t="shared" si="14"/>
        <v/>
      </c>
      <c r="S71" s="89" t="str">
        <f t="shared" si="14"/>
        <v/>
      </c>
      <c r="T71" s="89" t="str">
        <f t="shared" si="14"/>
        <v/>
      </c>
      <c r="U71" s="254" t="str">
        <f t="shared" si="14"/>
        <v>y</v>
      </c>
      <c r="V71" s="308"/>
      <c r="W71" s="309" t="str" cm="1">
        <f t="array" ref="W71">_xlfn.IFS(AND(Q71="y",$D71="Local"), 1, AND(Q71="y",$D71&lt;&gt;"Local"),1.49009696454663%, Q71="","")</f>
        <v/>
      </c>
      <c r="X71" s="272" t="str" cm="1">
        <f t="array" ref="X71">_xlfn.IFS(AND(R71="y",$D71="Local"), 1, AND(R71="y",$D71&lt;&gt;"Local"),20.7557554582461%, R71="","")</f>
        <v/>
      </c>
      <c r="Y71" s="272" t="str" cm="1">
        <f t="array" ref="Y71">_xlfn.IFS(AND(S71="y",$D71="Local"), 1, AND(S71="y",$D71&lt;&gt;"Local"),30.3499104327336%, S71="","")</f>
        <v/>
      </c>
      <c r="Z71" s="272" t="str" cm="1">
        <f t="array" ref="Z71">_xlfn.IFS(AND(T71="y",$D71="Local"), 1, AND(T71="y",$D71&lt;&gt;"Local"),29.0043833288201%, T71="","")</f>
        <v/>
      </c>
      <c r="AA71" s="272" cm="1">
        <f t="array" ref="AA71">_xlfn.IFS(AND(U71="y",$D71="Local"), 1, AND(U71="y",$D71&lt;&gt;"Local"),18.3998538156536%, U71="","")</f>
        <v>1</v>
      </c>
      <c r="AB71" s="68">
        <f t="shared" si="5"/>
        <v>1</v>
      </c>
      <c r="AD71" s="306" t="str">
        <f t="shared" si="6"/>
        <v/>
      </c>
      <c r="AE71" s="242" t="str">
        <f t="shared" si="7"/>
        <v/>
      </c>
      <c r="AF71" s="242" t="str">
        <f t="shared" si="8"/>
        <v/>
      </c>
      <c r="AG71" s="242" t="str">
        <f t="shared" si="9"/>
        <v/>
      </c>
      <c r="AH71" s="352">
        <f t="shared" si="10"/>
        <v>279074.40999999997</v>
      </c>
    </row>
    <row r="72" spans="2:34">
      <c r="B72" s="166" t="s">
        <v>200</v>
      </c>
      <c r="C72" s="150"/>
      <c r="D72" s="150" t="s">
        <v>116</v>
      </c>
      <c r="E72" s="150" t="s">
        <v>142</v>
      </c>
      <c r="F72" s="150" t="s">
        <v>623</v>
      </c>
      <c r="G72" s="146"/>
      <c r="H72" s="155"/>
      <c r="I72" s="135">
        <f t="shared" si="11"/>
        <v>0</v>
      </c>
      <c r="J72" s="147"/>
      <c r="K72" s="155">
        <v>404.69664423410802</v>
      </c>
      <c r="L72" s="88">
        <f t="shared" si="13"/>
        <v>496.66831406619218</v>
      </c>
      <c r="M72" s="160">
        <v>201000</v>
      </c>
      <c r="N72" s="167">
        <v>2016</v>
      </c>
      <c r="O72" s="167">
        <f>IFERROR(('General Input Sheet'!$G$38/(VLOOKUP(N72,'General Input Sheet'!$E$38:$G$44,3,FALSE))),1)</f>
        <v>1</v>
      </c>
      <c r="P72" s="189">
        <f t="shared" si="3"/>
        <v>201000</v>
      </c>
      <c r="Q72" s="89" t="str">
        <f t="shared" si="14"/>
        <v/>
      </c>
      <c r="R72" s="89" t="str">
        <f t="shared" si="14"/>
        <v/>
      </c>
      <c r="S72" s="89" t="str">
        <f t="shared" si="14"/>
        <v/>
      </c>
      <c r="T72" s="89" t="str">
        <f t="shared" si="14"/>
        <v>y</v>
      </c>
      <c r="U72" s="254" t="str">
        <f t="shared" si="14"/>
        <v/>
      </c>
      <c r="V72" s="308"/>
      <c r="W72" s="309" t="str" cm="1">
        <f t="array" ref="W72">_xlfn.IFS(AND(Q72="y",$D72="Local"), 1, AND(Q72="y",$D72&lt;&gt;"Local"),1.49009696454663%, Q72="","")</f>
        <v/>
      </c>
      <c r="X72" s="272" t="str" cm="1">
        <f t="array" ref="X72">_xlfn.IFS(AND(R72="y",$D72="Local"), 1, AND(R72="y",$D72&lt;&gt;"Local"),20.7557554582461%, R72="","")</f>
        <v/>
      </c>
      <c r="Y72" s="272" t="str" cm="1">
        <f t="array" ref="Y72">_xlfn.IFS(AND(S72="y",$D72="Local"), 1, AND(S72="y",$D72&lt;&gt;"Local"),30.3499104327336%, S72="","")</f>
        <v/>
      </c>
      <c r="Z72" s="272" cm="1">
        <f t="array" ref="Z72">_xlfn.IFS(AND(T72="y",$D72="Local"), 1, AND(T72="y",$D72&lt;&gt;"Local"),29.0043833288201%, T72="","")</f>
        <v>1</v>
      </c>
      <c r="AA72" s="272" t="str" cm="1">
        <f t="array" ref="AA72">_xlfn.IFS(AND(U72="y",$D72="Local"), 1, AND(U72="y",$D72&lt;&gt;"Local"),18.3998538156536%, U72="","")</f>
        <v/>
      </c>
      <c r="AB72" s="68">
        <f t="shared" si="5"/>
        <v>1</v>
      </c>
      <c r="AD72" s="306" t="str">
        <f t="shared" si="6"/>
        <v/>
      </c>
      <c r="AE72" s="242" t="str">
        <f t="shared" si="7"/>
        <v/>
      </c>
      <c r="AF72" s="242" t="str">
        <f t="shared" si="8"/>
        <v/>
      </c>
      <c r="AG72" s="242">
        <f t="shared" si="9"/>
        <v>201000</v>
      </c>
      <c r="AH72" s="352" t="str">
        <f t="shared" si="10"/>
        <v/>
      </c>
    </row>
    <row r="73" spans="2:34">
      <c r="B73" s="166" t="s">
        <v>201</v>
      </c>
      <c r="C73" s="150"/>
      <c r="D73" s="150" t="s">
        <v>116</v>
      </c>
      <c r="E73" s="150" t="s">
        <v>143</v>
      </c>
      <c r="F73" s="150" t="s">
        <v>624</v>
      </c>
      <c r="G73" s="146"/>
      <c r="H73" s="155"/>
      <c r="I73" s="135">
        <f t="shared" si="11"/>
        <v>0</v>
      </c>
      <c r="J73" s="147"/>
      <c r="K73" s="155">
        <v>894.06671766586896</v>
      </c>
      <c r="L73" s="88">
        <f t="shared" si="13"/>
        <v>719.88394969035812</v>
      </c>
      <c r="M73" s="160">
        <v>643624.28</v>
      </c>
      <c r="N73" s="167">
        <v>2016</v>
      </c>
      <c r="O73" s="167">
        <f>IFERROR(('General Input Sheet'!$G$38/(VLOOKUP(N73,'General Input Sheet'!$E$38:$G$44,3,FALSE))),1)</f>
        <v>1</v>
      </c>
      <c r="P73" s="189">
        <f t="shared" si="3"/>
        <v>643624.28</v>
      </c>
      <c r="Q73" s="89" t="str">
        <f t="shared" si="14"/>
        <v/>
      </c>
      <c r="R73" s="89" t="str">
        <f t="shared" si="14"/>
        <v/>
      </c>
      <c r="S73" s="89" t="str">
        <f t="shared" si="14"/>
        <v/>
      </c>
      <c r="T73" s="89" t="str">
        <f t="shared" si="14"/>
        <v/>
      </c>
      <c r="U73" s="254" t="str">
        <f t="shared" si="14"/>
        <v>y</v>
      </c>
      <c r="V73" s="308"/>
      <c r="W73" s="309" t="str" cm="1">
        <f t="array" ref="W73">_xlfn.IFS(AND(Q73="y",$D73="Local"), 1, AND(Q73="y",$D73&lt;&gt;"Local"),1.49009696454663%, Q73="","")</f>
        <v/>
      </c>
      <c r="X73" s="272" t="str" cm="1">
        <f t="array" ref="X73">_xlfn.IFS(AND(R73="y",$D73="Local"), 1, AND(R73="y",$D73&lt;&gt;"Local"),20.7557554582461%, R73="","")</f>
        <v/>
      </c>
      <c r="Y73" s="272" t="str" cm="1">
        <f t="array" ref="Y73">_xlfn.IFS(AND(S73="y",$D73="Local"), 1, AND(S73="y",$D73&lt;&gt;"Local"),30.3499104327336%, S73="","")</f>
        <v/>
      </c>
      <c r="Z73" s="272" t="str" cm="1">
        <f t="array" ref="Z73">_xlfn.IFS(AND(T73="y",$D73="Local"), 1, AND(T73="y",$D73&lt;&gt;"Local"),29.0043833288201%, T73="","")</f>
        <v/>
      </c>
      <c r="AA73" s="272" cm="1">
        <f t="array" ref="AA73">_xlfn.IFS(AND(U73="y",$D73="Local"), 1, AND(U73="y",$D73&lt;&gt;"Local"),18.3998538156536%, U73="","")</f>
        <v>1</v>
      </c>
      <c r="AB73" s="68">
        <f t="shared" si="5"/>
        <v>1</v>
      </c>
      <c r="AD73" s="306" t="str">
        <f t="shared" si="6"/>
        <v/>
      </c>
      <c r="AE73" s="242" t="str">
        <f t="shared" si="7"/>
        <v/>
      </c>
      <c r="AF73" s="242" t="str">
        <f t="shared" si="8"/>
        <v/>
      </c>
      <c r="AG73" s="242" t="str">
        <f t="shared" si="9"/>
        <v/>
      </c>
      <c r="AH73" s="352">
        <f t="shared" si="10"/>
        <v>643624.28</v>
      </c>
    </row>
    <row r="74" spans="2:34">
      <c r="B74" s="166" t="s">
        <v>202</v>
      </c>
      <c r="C74" s="150"/>
      <c r="D74" s="150" t="s">
        <v>116</v>
      </c>
      <c r="E74" s="150" t="s">
        <v>143</v>
      </c>
      <c r="F74" s="150" t="s">
        <v>625</v>
      </c>
      <c r="G74" s="146"/>
      <c r="H74" s="155"/>
      <c r="I74" s="135">
        <f t="shared" si="11"/>
        <v>0</v>
      </c>
      <c r="J74" s="147"/>
      <c r="K74" s="155">
        <v>630.73934775085104</v>
      </c>
      <c r="L74" s="88">
        <f t="shared" si="13"/>
        <v>732.81618096003172</v>
      </c>
      <c r="M74" s="160">
        <v>462216</v>
      </c>
      <c r="N74" s="167">
        <v>2016</v>
      </c>
      <c r="O74" s="167">
        <f>IFERROR(('General Input Sheet'!$G$38/(VLOOKUP(N74,'General Input Sheet'!$E$38:$G$44,3,FALSE))),1)</f>
        <v>1</v>
      </c>
      <c r="P74" s="189">
        <f t="shared" si="3"/>
        <v>462216</v>
      </c>
      <c r="Q74" s="89" t="str">
        <f t="shared" si="14"/>
        <v/>
      </c>
      <c r="R74" s="89" t="str">
        <f t="shared" si="14"/>
        <v/>
      </c>
      <c r="S74" s="89" t="str">
        <f t="shared" si="14"/>
        <v/>
      </c>
      <c r="T74" s="89" t="str">
        <f t="shared" si="14"/>
        <v/>
      </c>
      <c r="U74" s="254" t="str">
        <f t="shared" si="14"/>
        <v>y</v>
      </c>
      <c r="V74" s="308"/>
      <c r="W74" s="309" t="str" cm="1">
        <f t="array" ref="W74">_xlfn.IFS(AND(Q74="y",$D74="Local"), 1, AND(Q74="y",$D74&lt;&gt;"Local"),1.49009696454663%, Q74="","")</f>
        <v/>
      </c>
      <c r="X74" s="272" t="str" cm="1">
        <f t="array" ref="X74">_xlfn.IFS(AND(R74="y",$D74="Local"), 1, AND(R74="y",$D74&lt;&gt;"Local"),20.7557554582461%, R74="","")</f>
        <v/>
      </c>
      <c r="Y74" s="272" t="str" cm="1">
        <f t="array" ref="Y74">_xlfn.IFS(AND(S74="y",$D74="Local"), 1, AND(S74="y",$D74&lt;&gt;"Local"),30.3499104327336%, S74="","")</f>
        <v/>
      </c>
      <c r="Z74" s="272" t="str" cm="1">
        <f t="array" ref="Z74">_xlfn.IFS(AND(T74="y",$D74="Local"), 1, AND(T74="y",$D74&lt;&gt;"Local"),29.0043833288201%, T74="","")</f>
        <v/>
      </c>
      <c r="AA74" s="272" cm="1">
        <f t="array" ref="AA74">_xlfn.IFS(AND(U74="y",$D74="Local"), 1, AND(U74="y",$D74&lt;&gt;"Local"),18.3998538156536%, U74="","")</f>
        <v>1</v>
      </c>
      <c r="AB74" s="68">
        <f t="shared" si="5"/>
        <v>1</v>
      </c>
      <c r="AD74" s="306" t="str">
        <f t="shared" si="6"/>
        <v/>
      </c>
      <c r="AE74" s="242" t="str">
        <f t="shared" si="7"/>
        <v/>
      </c>
      <c r="AF74" s="242" t="str">
        <f t="shared" si="8"/>
        <v/>
      </c>
      <c r="AG74" s="242" t="str">
        <f t="shared" si="9"/>
        <v/>
      </c>
      <c r="AH74" s="352">
        <f t="shared" si="10"/>
        <v>462216</v>
      </c>
    </row>
    <row r="75" spans="2:34">
      <c r="B75" s="166" t="s">
        <v>203</v>
      </c>
      <c r="C75" s="150"/>
      <c r="D75" s="150" t="s">
        <v>116</v>
      </c>
      <c r="E75" s="150" t="s">
        <v>143</v>
      </c>
      <c r="F75" s="150" t="s">
        <v>626</v>
      </c>
      <c r="G75" s="146"/>
      <c r="H75" s="155"/>
      <c r="I75" s="135">
        <f t="shared" si="11"/>
        <v>0</v>
      </c>
      <c r="J75" s="147"/>
      <c r="K75" s="155">
        <v>401.063953634867</v>
      </c>
      <c r="L75" s="88">
        <f t="shared" si="13"/>
        <v>780.48400302007815</v>
      </c>
      <c r="M75" s="160">
        <v>313024</v>
      </c>
      <c r="N75" s="167">
        <v>2016</v>
      </c>
      <c r="O75" s="167">
        <f>IFERROR(('General Input Sheet'!$G$38/(VLOOKUP(N75,'General Input Sheet'!$E$38:$G$44,3,FALSE))),1)</f>
        <v>1</v>
      </c>
      <c r="P75" s="189">
        <f t="shared" si="3"/>
        <v>313024</v>
      </c>
      <c r="Q75" s="89" t="str">
        <f t="shared" si="14"/>
        <v/>
      </c>
      <c r="R75" s="89" t="str">
        <f t="shared" si="14"/>
        <v/>
      </c>
      <c r="S75" s="89" t="str">
        <f t="shared" si="14"/>
        <v/>
      </c>
      <c r="T75" s="89" t="str">
        <f t="shared" si="14"/>
        <v/>
      </c>
      <c r="U75" s="254" t="str">
        <f t="shared" si="14"/>
        <v>y</v>
      </c>
      <c r="V75" s="308"/>
      <c r="W75" s="309" t="str" cm="1">
        <f t="array" ref="W75">_xlfn.IFS(AND(Q75="y",$D75="Local"), 1, AND(Q75="y",$D75&lt;&gt;"Local"),1.49009696454663%, Q75="","")</f>
        <v/>
      </c>
      <c r="X75" s="272" t="str" cm="1">
        <f t="array" ref="X75">_xlfn.IFS(AND(R75="y",$D75="Local"), 1, AND(R75="y",$D75&lt;&gt;"Local"),20.7557554582461%, R75="","")</f>
        <v/>
      </c>
      <c r="Y75" s="272" t="str" cm="1">
        <f t="array" ref="Y75">_xlfn.IFS(AND(S75="y",$D75="Local"), 1, AND(S75="y",$D75&lt;&gt;"Local"),30.3499104327336%, S75="","")</f>
        <v/>
      </c>
      <c r="Z75" s="272" t="str" cm="1">
        <f t="array" ref="Z75">_xlfn.IFS(AND(T75="y",$D75="Local"), 1, AND(T75="y",$D75&lt;&gt;"Local"),29.0043833288201%, T75="","")</f>
        <v/>
      </c>
      <c r="AA75" s="272" cm="1">
        <f t="array" ref="AA75">_xlfn.IFS(AND(U75="y",$D75="Local"), 1, AND(U75="y",$D75&lt;&gt;"Local"),18.3998538156536%, U75="","")</f>
        <v>1</v>
      </c>
      <c r="AB75" s="68">
        <f t="shared" si="5"/>
        <v>1</v>
      </c>
      <c r="AD75" s="306" t="str">
        <f t="shared" si="6"/>
        <v/>
      </c>
      <c r="AE75" s="242" t="str">
        <f t="shared" si="7"/>
        <v/>
      </c>
      <c r="AF75" s="242" t="str">
        <f t="shared" si="8"/>
        <v/>
      </c>
      <c r="AG75" s="242" t="str">
        <f t="shared" si="9"/>
        <v/>
      </c>
      <c r="AH75" s="352">
        <f t="shared" si="10"/>
        <v>313024</v>
      </c>
    </row>
    <row r="76" spans="2:34">
      <c r="B76" s="166" t="s">
        <v>204</v>
      </c>
      <c r="C76" s="150"/>
      <c r="D76" s="150" t="s">
        <v>118</v>
      </c>
      <c r="E76" s="150" t="s">
        <v>142</v>
      </c>
      <c r="F76" s="150" t="s">
        <v>627</v>
      </c>
      <c r="G76" s="146">
        <v>56000</v>
      </c>
      <c r="H76" s="155">
        <v>2236</v>
      </c>
      <c r="I76" s="135">
        <f t="shared" si="11"/>
        <v>45</v>
      </c>
      <c r="J76" s="147">
        <v>156620</v>
      </c>
      <c r="K76" s="155">
        <v>2233.33702943872</v>
      </c>
      <c r="L76" s="88">
        <f t="shared" si="13"/>
        <v>107.62818008727037</v>
      </c>
      <c r="M76" s="160">
        <v>240370</v>
      </c>
      <c r="N76" s="167">
        <v>2016</v>
      </c>
      <c r="O76" s="167">
        <f>IFERROR(('General Input Sheet'!$G$38/(VLOOKUP(N76,'General Input Sheet'!$E$38:$G$44,3,FALSE))),1)</f>
        <v>1</v>
      </c>
      <c r="P76" s="189">
        <f t="shared" si="3"/>
        <v>396990</v>
      </c>
      <c r="Q76" s="89" t="str">
        <f t="shared" si="14"/>
        <v>y</v>
      </c>
      <c r="R76" s="89" t="str">
        <f t="shared" si="14"/>
        <v>y</v>
      </c>
      <c r="S76" s="89" t="str">
        <f t="shared" si="14"/>
        <v>y</v>
      </c>
      <c r="T76" s="89" t="str">
        <f t="shared" si="14"/>
        <v>y</v>
      </c>
      <c r="U76" s="254" t="str">
        <f t="shared" si="14"/>
        <v>y</v>
      </c>
      <c r="V76" s="308"/>
      <c r="W76" s="309" cm="1">
        <f t="array" ref="W76">_xlfn.IFS(AND(Q76="y",$D76="Local"), 1, AND(Q76="y",$D76&lt;&gt;"Local"),1.49009696454663%, Q76="","")</f>
        <v>1.49009696454663E-2</v>
      </c>
      <c r="X76" s="272" cm="1">
        <f t="array" ref="X76">_xlfn.IFS(AND(R76="y",$D76="Local"), 1, AND(R76="y",$D76&lt;&gt;"Local"),20.7557554582461%, R76="","")</f>
        <v>0.207557554582461</v>
      </c>
      <c r="Y76" s="272" cm="1">
        <f t="array" ref="Y76">_xlfn.IFS(AND(S76="y",$D76="Local"), 1, AND(S76="y",$D76&lt;&gt;"Local"),30.3499104327336%, S76="","")</f>
        <v>0.30349910432733601</v>
      </c>
      <c r="Z76" s="272" cm="1">
        <f t="array" ref="Z76">_xlfn.IFS(AND(T76="y",$D76="Local"), 1, AND(T76="y",$D76&lt;&gt;"Local"),29.0043833288201%, T76="","")</f>
        <v>0.29004383328820099</v>
      </c>
      <c r="AA76" s="272" cm="1">
        <f t="array" ref="AA76">_xlfn.IFS(AND(U76="y",$D76="Local"), 1, AND(U76="y",$D76&lt;&gt;"Local"),18.3998538156536%, U76="","")</f>
        <v>0.183998538156536</v>
      </c>
      <c r="AB76" s="68">
        <f t="shared" si="5"/>
        <v>1.0000000000000004</v>
      </c>
      <c r="AD76" s="306">
        <f t="shared" si="6"/>
        <v>5915.5359395536634</v>
      </c>
      <c r="AE76" s="242">
        <f t="shared" si="7"/>
        <v>82398.273593691163</v>
      </c>
      <c r="AF76" s="242">
        <f t="shared" si="8"/>
        <v>120486.10942690908</v>
      </c>
      <c r="AG76" s="242">
        <f t="shared" si="9"/>
        <v>115144.50137708287</v>
      </c>
      <c r="AH76" s="352">
        <f t="shared" si="10"/>
        <v>73045.579662763193</v>
      </c>
    </row>
    <row r="77" spans="2:34">
      <c r="B77" s="166" t="s">
        <v>205</v>
      </c>
      <c r="C77" s="150"/>
      <c r="D77" s="150" t="s">
        <v>118</v>
      </c>
      <c r="E77" s="150" t="s">
        <v>143</v>
      </c>
      <c r="F77" s="150" t="s">
        <v>628</v>
      </c>
      <c r="G77" s="146"/>
      <c r="H77" s="155"/>
      <c r="I77" s="135">
        <f t="shared" si="11"/>
        <v>0</v>
      </c>
      <c r="J77" s="147"/>
      <c r="K77" s="155">
        <v>1406.5380508614701</v>
      </c>
      <c r="L77" s="88">
        <f t="shared" si="13"/>
        <v>19.195364095172376</v>
      </c>
      <c r="M77" s="160">
        <v>26999.01</v>
      </c>
      <c r="N77" s="167">
        <v>2016</v>
      </c>
      <c r="O77" s="167">
        <f>IFERROR(('General Input Sheet'!$G$38/(VLOOKUP(N77,'General Input Sheet'!$E$38:$G$44,3,FALSE))),1)</f>
        <v>1</v>
      </c>
      <c r="P77" s="189">
        <f t="shared" ref="P77:P140" si="15">J77+M77</f>
        <v>26999.01</v>
      </c>
      <c r="Q77" s="89" t="str">
        <f t="shared" si="14"/>
        <v>y</v>
      </c>
      <c r="R77" s="89" t="str">
        <f t="shared" si="14"/>
        <v>y</v>
      </c>
      <c r="S77" s="89" t="str">
        <f t="shared" si="14"/>
        <v>y</v>
      </c>
      <c r="T77" s="89" t="str">
        <f t="shared" si="14"/>
        <v>y</v>
      </c>
      <c r="U77" s="254" t="str">
        <f t="shared" si="14"/>
        <v>y</v>
      </c>
      <c r="V77" s="308"/>
      <c r="W77" s="309" cm="1">
        <f t="array" ref="W77">_xlfn.IFS(AND(Q77="y",$D77="Local"), 1, AND(Q77="y",$D77&lt;&gt;"Local"),1.49009696454663%, Q77="","")</f>
        <v>1.49009696454663E-2</v>
      </c>
      <c r="X77" s="272" cm="1">
        <f t="array" ref="X77">_xlfn.IFS(AND(R77="y",$D77="Local"), 1, AND(R77="y",$D77&lt;&gt;"Local"),20.7557554582461%, R77="","")</f>
        <v>0.207557554582461</v>
      </c>
      <c r="Y77" s="272" cm="1">
        <f t="array" ref="Y77">_xlfn.IFS(AND(S77="y",$D77="Local"), 1, AND(S77="y",$D77&lt;&gt;"Local"),30.3499104327336%, S77="","")</f>
        <v>0.30349910432733601</v>
      </c>
      <c r="Z77" s="272" cm="1">
        <f t="array" ref="Z77">_xlfn.IFS(AND(T77="y",$D77="Local"), 1, AND(T77="y",$D77&lt;&gt;"Local"),29.0043833288201%, T77="","")</f>
        <v>0.29004383328820099</v>
      </c>
      <c r="AA77" s="272" cm="1">
        <f t="array" ref="AA77">_xlfn.IFS(AND(U77="y",$D77="Local"), 1, AND(U77="y",$D77&lt;&gt;"Local"),18.3998538156536%, U77="","")</f>
        <v>0.183998538156536</v>
      </c>
      <c r="AB77" s="68">
        <f t="shared" ref="AB77:AB140" si="16">SUM(W77:AA77)</f>
        <v>1.0000000000000004</v>
      </c>
      <c r="AD77" s="306">
        <f t="shared" ref="AD77:AD140" si="17">IF(W77="","",(W77/$AB77)*$P77)</f>
        <v>402.31142846764089</v>
      </c>
      <c r="AE77" s="242">
        <f t="shared" ref="AE77:AE140" si="18">IF(X77="","",(X77/$AB77)*$P77)</f>
        <v>5603.8484917474079</v>
      </c>
      <c r="AF77" s="242">
        <f t="shared" ref="AF77:AF140" si="19">IF(Y77="","",(Y77/$AB77)*$P77)</f>
        <v>8194.1753527247856</v>
      </c>
      <c r="AG77" s="242">
        <f t="shared" ref="AG77:AG140" si="20">IF(Z77="","",(Z77/$AB77)*$P77)</f>
        <v>7830.8963553864678</v>
      </c>
      <c r="AH77" s="352">
        <f t="shared" ref="AH77:AH140" si="21">IF(AA77="","",(AA77/$AB77)*$P77)</f>
        <v>4967.778371673694</v>
      </c>
    </row>
    <row r="78" spans="2:34">
      <c r="B78" s="166" t="s">
        <v>206</v>
      </c>
      <c r="C78" s="150"/>
      <c r="D78" s="150" t="s">
        <v>116</v>
      </c>
      <c r="E78" s="150" t="s">
        <v>143</v>
      </c>
      <c r="F78" s="150" t="s">
        <v>629</v>
      </c>
      <c r="G78" s="146"/>
      <c r="H78" s="155"/>
      <c r="I78" s="135">
        <f t="shared" ref="I78:I141" si="22">IFERROR((J78-G78)/H78,0)</f>
        <v>0</v>
      </c>
      <c r="J78" s="147"/>
      <c r="K78" s="155">
        <v>401.55169379814299</v>
      </c>
      <c r="L78" s="88">
        <f t="shared" si="13"/>
        <v>779.53599706979401</v>
      </c>
      <c r="M78" s="160">
        <v>313024</v>
      </c>
      <c r="N78" s="167">
        <v>2016</v>
      </c>
      <c r="O78" s="167">
        <f>IFERROR(('General Input Sheet'!$G$38/(VLOOKUP(N78,'General Input Sheet'!$E$38:$G$44,3,FALSE))),1)</f>
        <v>1</v>
      </c>
      <c r="P78" s="186">
        <f t="shared" si="15"/>
        <v>313024</v>
      </c>
      <c r="Q78" s="89" t="str">
        <f t="shared" si="14"/>
        <v/>
      </c>
      <c r="R78" s="89" t="str">
        <f t="shared" si="14"/>
        <v/>
      </c>
      <c r="S78" s="89" t="str">
        <f t="shared" si="14"/>
        <v/>
      </c>
      <c r="T78" s="89" t="str">
        <f t="shared" si="14"/>
        <v/>
      </c>
      <c r="U78" s="254" t="str">
        <f t="shared" si="14"/>
        <v>y</v>
      </c>
      <c r="V78" s="308"/>
      <c r="W78" s="309" t="str" cm="1">
        <f t="array" ref="W78">_xlfn.IFS(AND(Q78="y",$D78="Local"), 1, AND(Q78="y",$D78&lt;&gt;"Local"),1.49009696454663%, Q78="","")</f>
        <v/>
      </c>
      <c r="X78" s="272" t="str" cm="1">
        <f t="array" ref="X78">_xlfn.IFS(AND(R78="y",$D78="Local"), 1, AND(R78="y",$D78&lt;&gt;"Local"),20.7557554582461%, R78="","")</f>
        <v/>
      </c>
      <c r="Y78" s="272" t="str" cm="1">
        <f t="array" ref="Y78">_xlfn.IFS(AND(S78="y",$D78="Local"), 1, AND(S78="y",$D78&lt;&gt;"Local"),30.3499104327336%, S78="","")</f>
        <v/>
      </c>
      <c r="Z78" s="272" t="str" cm="1">
        <f t="array" ref="Z78">_xlfn.IFS(AND(T78="y",$D78="Local"), 1, AND(T78="y",$D78&lt;&gt;"Local"),29.0043833288201%, T78="","")</f>
        <v/>
      </c>
      <c r="AA78" s="272" cm="1">
        <f t="array" ref="AA78">_xlfn.IFS(AND(U78="y",$D78="Local"), 1, AND(U78="y",$D78&lt;&gt;"Local"),18.3998538156536%, U78="","")</f>
        <v>1</v>
      </c>
      <c r="AB78" s="68">
        <f t="shared" si="16"/>
        <v>1</v>
      </c>
      <c r="AD78" s="306" t="str">
        <f t="shared" si="17"/>
        <v/>
      </c>
      <c r="AE78" s="242" t="str">
        <f t="shared" si="18"/>
        <v/>
      </c>
      <c r="AF78" s="242" t="str">
        <f t="shared" si="19"/>
        <v/>
      </c>
      <c r="AG78" s="242" t="str">
        <f t="shared" si="20"/>
        <v/>
      </c>
      <c r="AH78" s="352">
        <f t="shared" si="21"/>
        <v>313024</v>
      </c>
    </row>
    <row r="79" spans="2:34">
      <c r="B79" s="166" t="s">
        <v>207</v>
      </c>
      <c r="C79" s="150"/>
      <c r="D79" s="150" t="s">
        <v>116</v>
      </c>
      <c r="E79" s="150" t="s">
        <v>143</v>
      </c>
      <c r="F79" s="150" t="s">
        <v>630</v>
      </c>
      <c r="G79" s="146"/>
      <c r="H79" s="155"/>
      <c r="I79" s="135">
        <f t="shared" si="22"/>
        <v>0</v>
      </c>
      <c r="J79" s="147"/>
      <c r="K79" s="155">
        <v>401.55455359164199</v>
      </c>
      <c r="L79" s="88">
        <f t="shared" ref="L79:L142" si="23">IFERROR(M79/K79,0)</f>
        <v>779.53044536590539</v>
      </c>
      <c r="M79" s="160">
        <v>313024</v>
      </c>
      <c r="N79" s="167">
        <v>2016</v>
      </c>
      <c r="O79" s="167">
        <f>IFERROR(('General Input Sheet'!$G$38/(VLOOKUP(N79,'General Input Sheet'!$E$38:$G$44,3,FALSE))),1)</f>
        <v>1</v>
      </c>
      <c r="P79" s="186">
        <f t="shared" si="15"/>
        <v>313024</v>
      </c>
      <c r="Q79" s="89" t="str">
        <f t="shared" si="14"/>
        <v/>
      </c>
      <c r="R79" s="89" t="str">
        <f t="shared" si="14"/>
        <v/>
      </c>
      <c r="S79" s="89" t="str">
        <f t="shared" si="14"/>
        <v/>
      </c>
      <c r="T79" s="89" t="str">
        <f t="shared" si="14"/>
        <v/>
      </c>
      <c r="U79" s="254" t="str">
        <f t="shared" si="14"/>
        <v>y</v>
      </c>
      <c r="V79" s="308"/>
      <c r="W79" s="309" t="str" cm="1">
        <f t="array" ref="W79">_xlfn.IFS(AND(Q79="y",$D79="Local"), 1, AND(Q79="y",$D79&lt;&gt;"Local"),1.49009696454663%, Q79="","")</f>
        <v/>
      </c>
      <c r="X79" s="272" t="str" cm="1">
        <f t="array" ref="X79">_xlfn.IFS(AND(R79="y",$D79="Local"), 1, AND(R79="y",$D79&lt;&gt;"Local"),20.7557554582461%, R79="","")</f>
        <v/>
      </c>
      <c r="Y79" s="272" t="str" cm="1">
        <f t="array" ref="Y79">_xlfn.IFS(AND(S79="y",$D79="Local"), 1, AND(S79="y",$D79&lt;&gt;"Local"),30.3499104327336%, S79="","")</f>
        <v/>
      </c>
      <c r="Z79" s="272" t="str" cm="1">
        <f t="array" ref="Z79">_xlfn.IFS(AND(T79="y",$D79="Local"), 1, AND(T79="y",$D79&lt;&gt;"Local"),29.0043833288201%, T79="","")</f>
        <v/>
      </c>
      <c r="AA79" s="272" cm="1">
        <f t="array" ref="AA79">_xlfn.IFS(AND(U79="y",$D79="Local"), 1, AND(U79="y",$D79&lt;&gt;"Local"),18.3998538156536%, U79="","")</f>
        <v>1</v>
      </c>
      <c r="AB79" s="68">
        <f t="shared" si="16"/>
        <v>1</v>
      </c>
      <c r="AD79" s="306" t="str">
        <f t="shared" si="17"/>
        <v/>
      </c>
      <c r="AE79" s="242" t="str">
        <f t="shared" si="18"/>
        <v/>
      </c>
      <c r="AF79" s="242" t="str">
        <f t="shared" si="19"/>
        <v/>
      </c>
      <c r="AG79" s="242" t="str">
        <f t="shared" si="20"/>
        <v/>
      </c>
      <c r="AH79" s="352">
        <f t="shared" si="21"/>
        <v>313024</v>
      </c>
    </row>
    <row r="80" spans="2:34">
      <c r="B80" s="166" t="s">
        <v>208</v>
      </c>
      <c r="C80" s="150"/>
      <c r="D80" s="150" t="s">
        <v>118</v>
      </c>
      <c r="E80" s="150" t="s">
        <v>141</v>
      </c>
      <c r="F80" s="150" t="s">
        <v>631</v>
      </c>
      <c r="G80" s="146"/>
      <c r="H80" s="155"/>
      <c r="I80" s="135">
        <f t="shared" si="22"/>
        <v>0</v>
      </c>
      <c r="J80" s="147"/>
      <c r="K80" s="155">
        <v>2055.8232728381099</v>
      </c>
      <c r="L80" s="88">
        <f t="shared" si="23"/>
        <v>30.023271365534576</v>
      </c>
      <c r="M80" s="160">
        <v>61722.54</v>
      </c>
      <c r="N80" s="167">
        <v>2016</v>
      </c>
      <c r="O80" s="167">
        <f>IFERROR(('General Input Sheet'!$G$38/(VLOOKUP(N80,'General Input Sheet'!$E$38:$G$44,3,FALSE))),1)</f>
        <v>1</v>
      </c>
      <c r="P80" s="189">
        <f t="shared" si="15"/>
        <v>61722.54</v>
      </c>
      <c r="Q80" s="89" t="str">
        <f t="shared" si="14"/>
        <v>y</v>
      </c>
      <c r="R80" s="89" t="str">
        <f t="shared" si="14"/>
        <v>y</v>
      </c>
      <c r="S80" s="89" t="str">
        <f t="shared" si="14"/>
        <v>y</v>
      </c>
      <c r="T80" s="89" t="str">
        <f t="shared" si="14"/>
        <v>y</v>
      </c>
      <c r="U80" s="254" t="str">
        <f t="shared" si="14"/>
        <v>y</v>
      </c>
      <c r="V80" s="308"/>
      <c r="W80" s="309" cm="1">
        <f t="array" ref="W80">_xlfn.IFS(AND(Q80="y",$D80="Local"), 1, AND(Q80="y",$D80&lt;&gt;"Local"),1.49009696454663%, Q80="","")</f>
        <v>1.49009696454663E-2</v>
      </c>
      <c r="X80" s="272" cm="1">
        <f t="array" ref="X80">_xlfn.IFS(AND(R80="y",$D80="Local"), 1, AND(R80="y",$D80&lt;&gt;"Local"),20.7557554582461%, R80="","")</f>
        <v>0.207557554582461</v>
      </c>
      <c r="Y80" s="272" cm="1">
        <f t="array" ref="Y80">_xlfn.IFS(AND(S80="y",$D80="Local"), 1, AND(S80="y",$D80&lt;&gt;"Local"),30.3499104327336%, S80="","")</f>
        <v>0.30349910432733601</v>
      </c>
      <c r="Z80" s="272" cm="1">
        <f t="array" ref="Z80">_xlfn.IFS(AND(T80="y",$D80="Local"), 1, AND(T80="y",$D80&lt;&gt;"Local"),29.0043833288201%, T80="","")</f>
        <v>0.29004383328820099</v>
      </c>
      <c r="AA80" s="272" cm="1">
        <f t="array" ref="AA80">_xlfn.IFS(AND(U80="y",$D80="Local"), 1, AND(U80="y",$D80&lt;&gt;"Local"),18.3998538156536%, U80="","")</f>
        <v>0.183998538156536</v>
      </c>
      <c r="AB80" s="68">
        <f t="shared" si="16"/>
        <v>1.0000000000000004</v>
      </c>
      <c r="AD80" s="306">
        <f t="shared" si="17"/>
        <v>919.72569498107907</v>
      </c>
      <c r="AE80" s="242">
        <f t="shared" si="18"/>
        <v>12810.979465018128</v>
      </c>
      <c r="AF80" s="242">
        <f t="shared" si="19"/>
        <v>18732.735606808164</v>
      </c>
      <c r="AG80" s="242">
        <f t="shared" si="20"/>
        <v>17902.242101884312</v>
      </c>
      <c r="AH80" s="352">
        <f t="shared" si="21"/>
        <v>11356.857131308314</v>
      </c>
    </row>
    <row r="81" spans="2:34">
      <c r="B81" s="166" t="s">
        <v>209</v>
      </c>
      <c r="C81" s="150"/>
      <c r="D81" s="150" t="s">
        <v>116</v>
      </c>
      <c r="E81" s="150" t="s">
        <v>141</v>
      </c>
      <c r="F81" s="150" t="s">
        <v>632</v>
      </c>
      <c r="G81" s="146"/>
      <c r="H81" s="155"/>
      <c r="I81" s="135">
        <f t="shared" si="22"/>
        <v>0</v>
      </c>
      <c r="J81" s="147"/>
      <c r="K81" s="155">
        <v>152.415108132933</v>
      </c>
      <c r="L81" s="88">
        <f t="shared" si="23"/>
        <v>250.00874563409809</v>
      </c>
      <c r="M81" s="160">
        <v>38105.11</v>
      </c>
      <c r="N81" s="167">
        <v>2016</v>
      </c>
      <c r="O81" s="167">
        <f>IFERROR(('General Input Sheet'!$G$38/(VLOOKUP(N81,'General Input Sheet'!$E$38:$G$44,3,FALSE))),1)</f>
        <v>1</v>
      </c>
      <c r="P81" s="189">
        <f t="shared" si="15"/>
        <v>38105.11</v>
      </c>
      <c r="Q81" s="89" t="str">
        <f t="shared" ref="Q81:U131" si="24">IF(OR(Q$9=$E81,$D81="Metropolitan",$D81="District"),"y","")</f>
        <v/>
      </c>
      <c r="R81" s="89" t="str">
        <f t="shared" si="24"/>
        <v/>
      </c>
      <c r="S81" s="89" t="str">
        <f t="shared" si="24"/>
        <v>y</v>
      </c>
      <c r="T81" s="89" t="str">
        <f t="shared" si="24"/>
        <v/>
      </c>
      <c r="U81" s="254" t="str">
        <f t="shared" si="24"/>
        <v/>
      </c>
      <c r="V81" s="308"/>
      <c r="W81" s="309" t="str" cm="1">
        <f t="array" ref="W81">_xlfn.IFS(AND(Q81="y",$D81="Local"), 1, AND(Q81="y",$D81&lt;&gt;"Local"),1.49009696454663%, Q81="","")</f>
        <v/>
      </c>
      <c r="X81" s="272" t="str" cm="1">
        <f t="array" ref="X81">_xlfn.IFS(AND(R81="y",$D81="Local"), 1, AND(R81="y",$D81&lt;&gt;"Local"),20.7557554582461%, R81="","")</f>
        <v/>
      </c>
      <c r="Y81" s="272" cm="1">
        <f t="array" ref="Y81">_xlfn.IFS(AND(S81="y",$D81="Local"), 1, AND(S81="y",$D81&lt;&gt;"Local"),30.3499104327336%, S81="","")</f>
        <v>1</v>
      </c>
      <c r="Z81" s="272" t="str" cm="1">
        <f t="array" ref="Z81">_xlfn.IFS(AND(T81="y",$D81="Local"), 1, AND(T81="y",$D81&lt;&gt;"Local"),29.0043833288201%, T81="","")</f>
        <v/>
      </c>
      <c r="AA81" s="272" t="str" cm="1">
        <f t="array" ref="AA81">_xlfn.IFS(AND(U81="y",$D81="Local"), 1, AND(U81="y",$D81&lt;&gt;"Local"),18.3998538156536%, U81="","")</f>
        <v/>
      </c>
      <c r="AB81" s="68">
        <f t="shared" si="16"/>
        <v>1</v>
      </c>
      <c r="AD81" s="306" t="str">
        <f t="shared" si="17"/>
        <v/>
      </c>
      <c r="AE81" s="242" t="str">
        <f t="shared" si="18"/>
        <v/>
      </c>
      <c r="AF81" s="242">
        <f t="shared" si="19"/>
        <v>38105.11</v>
      </c>
      <c r="AG81" s="242" t="str">
        <f t="shared" si="20"/>
        <v/>
      </c>
      <c r="AH81" s="352" t="str">
        <f t="shared" si="21"/>
        <v/>
      </c>
    </row>
    <row r="82" spans="2:34">
      <c r="B82" s="166" t="s">
        <v>210</v>
      </c>
      <c r="C82" s="150"/>
      <c r="D82" s="150" t="s">
        <v>117</v>
      </c>
      <c r="E82" s="150" t="s">
        <v>141</v>
      </c>
      <c r="F82" s="150" t="s">
        <v>633</v>
      </c>
      <c r="G82" s="146"/>
      <c r="H82" s="155"/>
      <c r="I82" s="135">
        <f t="shared" si="22"/>
        <v>0</v>
      </c>
      <c r="J82" s="147"/>
      <c r="K82" s="155">
        <v>688.07018497338004</v>
      </c>
      <c r="L82" s="88">
        <f t="shared" si="23"/>
        <v>586.01152732057358</v>
      </c>
      <c r="M82" s="160">
        <v>403217.06</v>
      </c>
      <c r="N82" s="167">
        <v>2016</v>
      </c>
      <c r="O82" s="167">
        <f>IFERROR(('General Input Sheet'!$G$38/(VLOOKUP(N82,'General Input Sheet'!$E$38:$G$44,3,FALSE))),1)</f>
        <v>1</v>
      </c>
      <c r="P82" s="189">
        <f t="shared" si="15"/>
        <v>403217.06</v>
      </c>
      <c r="Q82" s="89" t="str">
        <f t="shared" si="24"/>
        <v>y</v>
      </c>
      <c r="R82" s="89" t="str">
        <f t="shared" si="24"/>
        <v>y</v>
      </c>
      <c r="S82" s="89" t="str">
        <f t="shared" si="24"/>
        <v>y</v>
      </c>
      <c r="T82" s="89" t="str">
        <f t="shared" si="24"/>
        <v>y</v>
      </c>
      <c r="U82" s="254" t="str">
        <f t="shared" si="24"/>
        <v>y</v>
      </c>
      <c r="V82" s="308"/>
      <c r="W82" s="309" cm="1">
        <f t="array" ref="W82">_xlfn.IFS(AND(Q82="y",$D82="Local"), 1, AND(Q82="y",$D82&lt;&gt;"Local"),1.49009696454663%, Q82="","")</f>
        <v>1.49009696454663E-2</v>
      </c>
      <c r="X82" s="272" cm="1">
        <f t="array" ref="X82">_xlfn.IFS(AND(R82="y",$D82="Local"), 1, AND(R82="y",$D82&lt;&gt;"Local"),20.7557554582461%, R82="","")</f>
        <v>0.207557554582461</v>
      </c>
      <c r="Y82" s="272" cm="1">
        <f t="array" ref="Y82">_xlfn.IFS(AND(S82="y",$D82="Local"), 1, AND(S82="y",$D82&lt;&gt;"Local"),30.3499104327336%, S82="","")</f>
        <v>0.30349910432733601</v>
      </c>
      <c r="Z82" s="272" cm="1">
        <f t="array" ref="Z82">_xlfn.IFS(AND(T82="y",$D82="Local"), 1, AND(T82="y",$D82&lt;&gt;"Local"),29.0043833288201%, T82="","")</f>
        <v>0.29004383328820099</v>
      </c>
      <c r="AA82" s="272" cm="1">
        <f t="array" ref="AA82">_xlfn.IFS(AND(U82="y",$D82="Local"), 1, AND(U82="y",$D82&lt;&gt;"Local"),18.3998538156536%, U82="","")</f>
        <v>0.183998538156536</v>
      </c>
      <c r="AB82" s="68">
        <f t="shared" si="16"/>
        <v>1.0000000000000004</v>
      </c>
      <c r="AD82" s="306">
        <f t="shared" si="17"/>
        <v>6008.3251715941615</v>
      </c>
      <c r="AE82" s="242">
        <f t="shared" si="18"/>
        <v>83690.746939529417</v>
      </c>
      <c r="AF82" s="242">
        <f t="shared" si="19"/>
        <v>122376.01655950166</v>
      </c>
      <c r="AG82" s="242">
        <f t="shared" si="20"/>
        <v>116950.6217295985</v>
      </c>
      <c r="AH82" s="352">
        <f t="shared" si="21"/>
        <v>74191.349599776237</v>
      </c>
    </row>
    <row r="83" spans="2:34">
      <c r="B83" s="166" t="s">
        <v>211</v>
      </c>
      <c r="C83" s="150"/>
      <c r="D83" s="150" t="s">
        <v>116</v>
      </c>
      <c r="E83" s="150" t="s">
        <v>143</v>
      </c>
      <c r="F83" s="150" t="s">
        <v>634</v>
      </c>
      <c r="G83" s="146"/>
      <c r="H83" s="155"/>
      <c r="I83" s="135">
        <f t="shared" si="22"/>
        <v>0</v>
      </c>
      <c r="J83" s="147"/>
      <c r="K83" s="155">
        <v>401.53620920236801</v>
      </c>
      <c r="L83" s="88">
        <f t="shared" si="23"/>
        <v>779.56605861724609</v>
      </c>
      <c r="M83" s="160">
        <v>313024</v>
      </c>
      <c r="N83" s="167">
        <v>2016</v>
      </c>
      <c r="O83" s="167">
        <f>IFERROR(('General Input Sheet'!$G$38/(VLOOKUP(N83,'General Input Sheet'!$E$38:$G$44,3,FALSE))),1)</f>
        <v>1</v>
      </c>
      <c r="P83" s="189">
        <f t="shared" si="15"/>
        <v>313024</v>
      </c>
      <c r="Q83" s="89" t="str">
        <f t="shared" si="24"/>
        <v/>
      </c>
      <c r="R83" s="89" t="str">
        <f t="shared" si="24"/>
        <v/>
      </c>
      <c r="S83" s="89" t="str">
        <f t="shared" si="24"/>
        <v/>
      </c>
      <c r="T83" s="89" t="str">
        <f t="shared" si="24"/>
        <v/>
      </c>
      <c r="U83" s="254" t="str">
        <f t="shared" si="24"/>
        <v>y</v>
      </c>
      <c r="V83" s="308"/>
      <c r="W83" s="309" t="str" cm="1">
        <f t="array" ref="W83">_xlfn.IFS(AND(Q83="y",$D83="Local"), 1, AND(Q83="y",$D83&lt;&gt;"Local"),1.49009696454663%, Q83="","")</f>
        <v/>
      </c>
      <c r="X83" s="272" t="str" cm="1">
        <f t="array" ref="X83">_xlfn.IFS(AND(R83="y",$D83="Local"), 1, AND(R83="y",$D83&lt;&gt;"Local"),20.7557554582461%, R83="","")</f>
        <v/>
      </c>
      <c r="Y83" s="272" t="str" cm="1">
        <f t="array" ref="Y83">_xlfn.IFS(AND(S83="y",$D83="Local"), 1, AND(S83="y",$D83&lt;&gt;"Local"),30.3499104327336%, S83="","")</f>
        <v/>
      </c>
      <c r="Z83" s="272" t="str" cm="1">
        <f t="array" ref="Z83">_xlfn.IFS(AND(T83="y",$D83="Local"), 1, AND(T83="y",$D83&lt;&gt;"Local"),29.0043833288201%, T83="","")</f>
        <v/>
      </c>
      <c r="AA83" s="272" cm="1">
        <f t="array" ref="AA83">_xlfn.IFS(AND(U83="y",$D83="Local"), 1, AND(U83="y",$D83&lt;&gt;"Local"),18.3998538156536%, U83="","")</f>
        <v>1</v>
      </c>
      <c r="AB83" s="68">
        <f t="shared" si="16"/>
        <v>1</v>
      </c>
      <c r="AD83" s="306" t="str">
        <f t="shared" si="17"/>
        <v/>
      </c>
      <c r="AE83" s="242" t="str">
        <f t="shared" si="18"/>
        <v/>
      </c>
      <c r="AF83" s="242" t="str">
        <f t="shared" si="19"/>
        <v/>
      </c>
      <c r="AG83" s="242" t="str">
        <f t="shared" si="20"/>
        <v/>
      </c>
      <c r="AH83" s="352">
        <f t="shared" si="21"/>
        <v>313024</v>
      </c>
    </row>
    <row r="84" spans="2:34">
      <c r="B84" s="166" t="s">
        <v>212</v>
      </c>
      <c r="C84" s="150"/>
      <c r="D84" s="150" t="s">
        <v>116</v>
      </c>
      <c r="E84" s="150" t="s">
        <v>143</v>
      </c>
      <c r="F84" s="150" t="s">
        <v>635</v>
      </c>
      <c r="G84" s="146"/>
      <c r="H84" s="155"/>
      <c r="I84" s="135">
        <f t="shared" si="22"/>
        <v>0</v>
      </c>
      <c r="J84" s="147"/>
      <c r="K84" s="155">
        <v>401.571098043201</v>
      </c>
      <c r="L84" s="88">
        <f t="shared" si="23"/>
        <v>779.4983292505899</v>
      </c>
      <c r="M84" s="160">
        <v>313024</v>
      </c>
      <c r="N84" s="167">
        <v>2016</v>
      </c>
      <c r="O84" s="167">
        <f>IFERROR(('General Input Sheet'!$G$38/(VLOOKUP(N84,'General Input Sheet'!$E$38:$G$44,3,FALSE))),1)</f>
        <v>1</v>
      </c>
      <c r="P84" s="189">
        <f t="shared" si="15"/>
        <v>313024</v>
      </c>
      <c r="Q84" s="89" t="str">
        <f t="shared" si="24"/>
        <v/>
      </c>
      <c r="R84" s="89" t="str">
        <f t="shared" si="24"/>
        <v/>
      </c>
      <c r="S84" s="89" t="str">
        <f t="shared" si="24"/>
        <v/>
      </c>
      <c r="T84" s="89" t="str">
        <f t="shared" si="24"/>
        <v/>
      </c>
      <c r="U84" s="254" t="str">
        <f t="shared" si="24"/>
        <v>y</v>
      </c>
      <c r="V84" s="308"/>
      <c r="W84" s="309" t="str" cm="1">
        <f t="array" ref="W84">_xlfn.IFS(AND(Q84="y",$D84="Local"), 1, AND(Q84="y",$D84&lt;&gt;"Local"),1.49009696454663%, Q84="","")</f>
        <v/>
      </c>
      <c r="X84" s="272" t="str" cm="1">
        <f t="array" ref="X84">_xlfn.IFS(AND(R84="y",$D84="Local"), 1, AND(R84="y",$D84&lt;&gt;"Local"),20.7557554582461%, R84="","")</f>
        <v/>
      </c>
      <c r="Y84" s="272" t="str" cm="1">
        <f t="array" ref="Y84">_xlfn.IFS(AND(S84="y",$D84="Local"), 1, AND(S84="y",$D84&lt;&gt;"Local"),30.3499104327336%, S84="","")</f>
        <v/>
      </c>
      <c r="Z84" s="272" t="str" cm="1">
        <f t="array" ref="Z84">_xlfn.IFS(AND(T84="y",$D84="Local"), 1, AND(T84="y",$D84&lt;&gt;"Local"),29.0043833288201%, T84="","")</f>
        <v/>
      </c>
      <c r="AA84" s="272" cm="1">
        <f t="array" ref="AA84">_xlfn.IFS(AND(U84="y",$D84="Local"), 1, AND(U84="y",$D84&lt;&gt;"Local"),18.3998538156536%, U84="","")</f>
        <v>1</v>
      </c>
      <c r="AB84" s="68">
        <f t="shared" si="16"/>
        <v>1</v>
      </c>
      <c r="AD84" s="306" t="str">
        <f t="shared" si="17"/>
        <v/>
      </c>
      <c r="AE84" s="242" t="str">
        <f t="shared" si="18"/>
        <v/>
      </c>
      <c r="AF84" s="242" t="str">
        <f t="shared" si="19"/>
        <v/>
      </c>
      <c r="AG84" s="242" t="str">
        <f t="shared" si="20"/>
        <v/>
      </c>
      <c r="AH84" s="352">
        <f t="shared" si="21"/>
        <v>313024</v>
      </c>
    </row>
    <row r="85" spans="2:34">
      <c r="B85" s="166" t="s">
        <v>213</v>
      </c>
      <c r="C85" s="150"/>
      <c r="D85" s="150" t="s">
        <v>116</v>
      </c>
      <c r="E85" s="150" t="s">
        <v>142</v>
      </c>
      <c r="F85" s="150" t="s">
        <v>636</v>
      </c>
      <c r="G85" s="146"/>
      <c r="H85" s="155"/>
      <c r="I85" s="135">
        <f t="shared" si="22"/>
        <v>0</v>
      </c>
      <c r="J85" s="147"/>
      <c r="K85" s="155">
        <v>360.421603327225</v>
      </c>
      <c r="L85" s="88">
        <f t="shared" si="23"/>
        <v>286.30253860314428</v>
      </c>
      <c r="M85" s="160">
        <v>103189.62</v>
      </c>
      <c r="N85" s="167">
        <v>2016</v>
      </c>
      <c r="O85" s="167">
        <f>IFERROR(('General Input Sheet'!$G$38/(VLOOKUP(N85,'General Input Sheet'!$E$38:$G$44,3,FALSE))),1)</f>
        <v>1</v>
      </c>
      <c r="P85" s="189">
        <f t="shared" si="15"/>
        <v>103189.62</v>
      </c>
      <c r="Q85" s="89" t="str">
        <f t="shared" si="24"/>
        <v/>
      </c>
      <c r="R85" s="89" t="str">
        <f t="shared" si="24"/>
        <v/>
      </c>
      <c r="S85" s="89" t="str">
        <f t="shared" si="24"/>
        <v/>
      </c>
      <c r="T85" s="89" t="str">
        <f t="shared" si="24"/>
        <v>y</v>
      </c>
      <c r="U85" s="254" t="str">
        <f t="shared" si="24"/>
        <v/>
      </c>
      <c r="V85" s="308"/>
      <c r="W85" s="309" t="str" cm="1">
        <f t="array" ref="W85">_xlfn.IFS(AND(Q85="y",$D85="Local"), 1, AND(Q85="y",$D85&lt;&gt;"Local"),1.49009696454663%, Q85="","")</f>
        <v/>
      </c>
      <c r="X85" s="272" t="str" cm="1">
        <f t="array" ref="X85">_xlfn.IFS(AND(R85="y",$D85="Local"), 1, AND(R85="y",$D85&lt;&gt;"Local"),20.7557554582461%, R85="","")</f>
        <v/>
      </c>
      <c r="Y85" s="272" t="str" cm="1">
        <f t="array" ref="Y85">_xlfn.IFS(AND(S85="y",$D85="Local"), 1, AND(S85="y",$D85&lt;&gt;"Local"),30.3499104327336%, S85="","")</f>
        <v/>
      </c>
      <c r="Z85" s="272" cm="1">
        <f t="array" ref="Z85">_xlfn.IFS(AND(T85="y",$D85="Local"), 1, AND(T85="y",$D85&lt;&gt;"Local"),29.0043833288201%, T85="","")</f>
        <v>1</v>
      </c>
      <c r="AA85" s="272" t="str" cm="1">
        <f t="array" ref="AA85">_xlfn.IFS(AND(U85="y",$D85="Local"), 1, AND(U85="y",$D85&lt;&gt;"Local"),18.3998538156536%, U85="","")</f>
        <v/>
      </c>
      <c r="AB85" s="68">
        <f t="shared" si="16"/>
        <v>1</v>
      </c>
      <c r="AD85" s="306" t="str">
        <f t="shared" si="17"/>
        <v/>
      </c>
      <c r="AE85" s="242" t="str">
        <f t="shared" si="18"/>
        <v/>
      </c>
      <c r="AF85" s="242" t="str">
        <f t="shared" si="19"/>
        <v/>
      </c>
      <c r="AG85" s="242">
        <f t="shared" si="20"/>
        <v>103189.62</v>
      </c>
      <c r="AH85" s="352" t="str">
        <f t="shared" si="21"/>
        <v/>
      </c>
    </row>
    <row r="86" spans="2:34">
      <c r="B86" s="166" t="s">
        <v>214</v>
      </c>
      <c r="C86" s="150"/>
      <c r="D86" s="150" t="s">
        <v>116</v>
      </c>
      <c r="E86" s="150" t="s">
        <v>142</v>
      </c>
      <c r="F86" s="150" t="s">
        <v>637</v>
      </c>
      <c r="G86" s="146">
        <v>56000</v>
      </c>
      <c r="H86" s="155">
        <v>607</v>
      </c>
      <c r="I86" s="135">
        <f t="shared" si="22"/>
        <v>45</v>
      </c>
      <c r="J86" s="147">
        <v>83315</v>
      </c>
      <c r="K86" s="155">
        <v>417.66551733800202</v>
      </c>
      <c r="L86" s="88">
        <f t="shared" si="23"/>
        <v>284.41677626900321</v>
      </c>
      <c r="M86" s="160">
        <v>118791.08</v>
      </c>
      <c r="N86" s="167">
        <v>2016</v>
      </c>
      <c r="O86" s="167">
        <f>IFERROR(('General Input Sheet'!$G$38/(VLOOKUP(N86,'General Input Sheet'!$E$38:$G$44,3,FALSE))),1)</f>
        <v>1</v>
      </c>
      <c r="P86" s="189">
        <f t="shared" si="15"/>
        <v>202106.08000000002</v>
      </c>
      <c r="Q86" s="89" t="str">
        <f t="shared" si="24"/>
        <v/>
      </c>
      <c r="R86" s="89" t="str">
        <f t="shared" si="24"/>
        <v/>
      </c>
      <c r="S86" s="89" t="str">
        <f t="shared" si="24"/>
        <v/>
      </c>
      <c r="T86" s="89" t="str">
        <f t="shared" si="24"/>
        <v>y</v>
      </c>
      <c r="U86" s="254" t="str">
        <f t="shared" si="24"/>
        <v/>
      </c>
      <c r="V86" s="308"/>
      <c r="W86" s="309" t="str" cm="1">
        <f t="array" ref="W86">_xlfn.IFS(AND(Q86="y",$D86="Local"), 1, AND(Q86="y",$D86&lt;&gt;"Local"),1.49009696454663%, Q86="","")</f>
        <v/>
      </c>
      <c r="X86" s="272" t="str" cm="1">
        <f t="array" ref="X86">_xlfn.IFS(AND(R86="y",$D86="Local"), 1, AND(R86="y",$D86&lt;&gt;"Local"),20.7557554582461%, R86="","")</f>
        <v/>
      </c>
      <c r="Y86" s="272" t="str" cm="1">
        <f t="array" ref="Y86">_xlfn.IFS(AND(S86="y",$D86="Local"), 1, AND(S86="y",$D86&lt;&gt;"Local"),30.3499104327336%, S86="","")</f>
        <v/>
      </c>
      <c r="Z86" s="272" cm="1">
        <f t="array" ref="Z86">_xlfn.IFS(AND(T86="y",$D86="Local"), 1, AND(T86="y",$D86&lt;&gt;"Local"),29.0043833288201%, T86="","")</f>
        <v>1</v>
      </c>
      <c r="AA86" s="272" t="str" cm="1">
        <f t="array" ref="AA86">_xlfn.IFS(AND(U86="y",$D86="Local"), 1, AND(U86="y",$D86&lt;&gt;"Local"),18.3998538156536%, U86="","")</f>
        <v/>
      </c>
      <c r="AB86" s="68">
        <f t="shared" si="16"/>
        <v>1</v>
      </c>
      <c r="AD86" s="306" t="str">
        <f t="shared" si="17"/>
        <v/>
      </c>
      <c r="AE86" s="242" t="str">
        <f t="shared" si="18"/>
        <v/>
      </c>
      <c r="AF86" s="242" t="str">
        <f t="shared" si="19"/>
        <v/>
      </c>
      <c r="AG86" s="242">
        <f t="shared" si="20"/>
        <v>202106.08000000002</v>
      </c>
      <c r="AH86" s="352" t="str">
        <f t="shared" si="21"/>
        <v/>
      </c>
    </row>
    <row r="87" spans="2:34">
      <c r="B87" s="166" t="s">
        <v>215</v>
      </c>
      <c r="C87" s="150"/>
      <c r="D87" s="150" t="s">
        <v>118</v>
      </c>
      <c r="E87" s="150" t="s">
        <v>141</v>
      </c>
      <c r="F87" s="150" t="s">
        <v>638</v>
      </c>
      <c r="G87" s="146"/>
      <c r="H87" s="155"/>
      <c r="I87" s="135">
        <f t="shared" si="22"/>
        <v>0</v>
      </c>
      <c r="J87" s="147"/>
      <c r="K87" s="155">
        <v>1625.8238118097599</v>
      </c>
      <c r="L87" s="88">
        <f t="shared" si="23"/>
        <v>60.403771482891294</v>
      </c>
      <c r="M87" s="160">
        <v>98205.89</v>
      </c>
      <c r="N87" s="167">
        <v>2016</v>
      </c>
      <c r="O87" s="167">
        <f>IFERROR(('General Input Sheet'!$G$38/(VLOOKUP(N87,'General Input Sheet'!$E$38:$G$44,3,FALSE))),1)</f>
        <v>1</v>
      </c>
      <c r="P87" s="189">
        <f t="shared" si="15"/>
        <v>98205.89</v>
      </c>
      <c r="Q87" s="89" t="str">
        <f t="shared" si="24"/>
        <v>y</v>
      </c>
      <c r="R87" s="89" t="str">
        <f t="shared" si="24"/>
        <v>y</v>
      </c>
      <c r="S87" s="89" t="str">
        <f t="shared" si="24"/>
        <v>y</v>
      </c>
      <c r="T87" s="89" t="str">
        <f t="shared" si="24"/>
        <v>y</v>
      </c>
      <c r="U87" s="254" t="str">
        <f t="shared" si="24"/>
        <v>y</v>
      </c>
      <c r="V87" s="308"/>
      <c r="W87" s="309" cm="1">
        <f t="array" ref="W87">_xlfn.IFS(AND(Q87="y",$D87="Local"), 1, AND(Q87="y",$D87&lt;&gt;"Local"),1.49009696454663%, Q87="","")</f>
        <v>1.49009696454663E-2</v>
      </c>
      <c r="X87" s="272" cm="1">
        <f t="array" ref="X87">_xlfn.IFS(AND(R87="y",$D87="Local"), 1, AND(R87="y",$D87&lt;&gt;"Local"),20.7557554582461%, R87="","")</f>
        <v>0.207557554582461</v>
      </c>
      <c r="Y87" s="272" cm="1">
        <f t="array" ref="Y87">_xlfn.IFS(AND(S87="y",$D87="Local"), 1, AND(S87="y",$D87&lt;&gt;"Local"),30.3499104327336%, S87="","")</f>
        <v>0.30349910432733601</v>
      </c>
      <c r="Z87" s="272" cm="1">
        <f t="array" ref="Z87">_xlfn.IFS(AND(T87="y",$D87="Local"), 1, AND(T87="y",$D87&lt;&gt;"Local"),29.0043833288201%, T87="","")</f>
        <v>0.29004383328820099</v>
      </c>
      <c r="AA87" s="272" cm="1">
        <f t="array" ref="AA87">_xlfn.IFS(AND(U87="y",$D87="Local"), 1, AND(U87="y",$D87&lt;&gt;"Local"),18.3998538156536%, U87="","")</f>
        <v>0.183998538156536</v>
      </c>
      <c r="AB87" s="68">
        <f t="shared" si="16"/>
        <v>1.0000000000000004</v>
      </c>
      <c r="AD87" s="306">
        <f t="shared" si="17"/>
        <v>1463.3629858960019</v>
      </c>
      <c r="AE87" s="242">
        <f t="shared" si="18"/>
        <v>20383.374373994153</v>
      </c>
      <c r="AF87" s="242">
        <f t="shared" si="19"/>
        <v>29805.399654668872</v>
      </c>
      <c r="AG87" s="242">
        <f t="shared" si="20"/>
        <v>28484.012787079395</v>
      </c>
      <c r="AH87" s="352">
        <f t="shared" si="21"/>
        <v>18069.740198361567</v>
      </c>
    </row>
    <row r="88" spans="2:34">
      <c r="B88" s="166" t="s">
        <v>216</v>
      </c>
      <c r="C88" s="150"/>
      <c r="D88" s="150" t="s">
        <v>116</v>
      </c>
      <c r="E88" s="150" t="s">
        <v>142</v>
      </c>
      <c r="F88" s="150" t="s">
        <v>639</v>
      </c>
      <c r="G88" s="146"/>
      <c r="H88" s="155"/>
      <c r="I88" s="135">
        <f t="shared" si="22"/>
        <v>0</v>
      </c>
      <c r="J88" s="147"/>
      <c r="K88" s="155">
        <v>221.83330842681099</v>
      </c>
      <c r="L88" s="88">
        <f t="shared" si="23"/>
        <v>221.41918338744631</v>
      </c>
      <c r="M88" s="160">
        <v>49118.15</v>
      </c>
      <c r="N88" s="167">
        <v>2016</v>
      </c>
      <c r="O88" s="167">
        <f>IFERROR(('General Input Sheet'!$G$38/(VLOOKUP(N88,'General Input Sheet'!$E$38:$G$44,3,FALSE))),1)</f>
        <v>1</v>
      </c>
      <c r="P88" s="189">
        <f t="shared" si="15"/>
        <v>49118.15</v>
      </c>
      <c r="Q88" s="89" t="str">
        <f t="shared" si="24"/>
        <v/>
      </c>
      <c r="R88" s="89" t="str">
        <f t="shared" si="24"/>
        <v/>
      </c>
      <c r="S88" s="89" t="str">
        <f t="shared" si="24"/>
        <v/>
      </c>
      <c r="T88" s="89" t="str">
        <f t="shared" si="24"/>
        <v>y</v>
      </c>
      <c r="U88" s="254" t="str">
        <f t="shared" si="24"/>
        <v/>
      </c>
      <c r="V88" s="308"/>
      <c r="W88" s="309" t="str" cm="1">
        <f t="array" ref="W88">_xlfn.IFS(AND(Q88="y",$D88="Local"), 1, AND(Q88="y",$D88&lt;&gt;"Local"),1.49009696454663%, Q88="","")</f>
        <v/>
      </c>
      <c r="X88" s="272" t="str" cm="1">
        <f t="array" ref="X88">_xlfn.IFS(AND(R88="y",$D88="Local"), 1, AND(R88="y",$D88&lt;&gt;"Local"),20.7557554582461%, R88="","")</f>
        <v/>
      </c>
      <c r="Y88" s="272" t="str" cm="1">
        <f t="array" ref="Y88">_xlfn.IFS(AND(S88="y",$D88="Local"), 1, AND(S88="y",$D88&lt;&gt;"Local"),30.3499104327336%, S88="","")</f>
        <v/>
      </c>
      <c r="Z88" s="272" cm="1">
        <f t="array" ref="Z88">_xlfn.IFS(AND(T88="y",$D88="Local"), 1, AND(T88="y",$D88&lt;&gt;"Local"),29.0043833288201%, T88="","")</f>
        <v>1</v>
      </c>
      <c r="AA88" s="272" t="str" cm="1">
        <f t="array" ref="AA88">_xlfn.IFS(AND(U88="y",$D88="Local"), 1, AND(U88="y",$D88&lt;&gt;"Local"),18.3998538156536%, U88="","")</f>
        <v/>
      </c>
      <c r="AB88" s="68">
        <f t="shared" si="16"/>
        <v>1</v>
      </c>
      <c r="AD88" s="306" t="str">
        <f t="shared" si="17"/>
        <v/>
      </c>
      <c r="AE88" s="242" t="str">
        <f t="shared" si="18"/>
        <v/>
      </c>
      <c r="AF88" s="242" t="str">
        <f t="shared" si="19"/>
        <v/>
      </c>
      <c r="AG88" s="242">
        <f t="shared" si="20"/>
        <v>49118.15</v>
      </c>
      <c r="AH88" s="352" t="str">
        <f t="shared" si="21"/>
        <v/>
      </c>
    </row>
    <row r="89" spans="2:34">
      <c r="B89" s="166" t="s">
        <v>217</v>
      </c>
      <c r="C89" s="150"/>
      <c r="D89" s="150" t="s">
        <v>118</v>
      </c>
      <c r="E89" s="150" t="s">
        <v>142</v>
      </c>
      <c r="F89" s="150" t="s">
        <v>640</v>
      </c>
      <c r="G89" s="146"/>
      <c r="H89" s="155"/>
      <c r="I89" s="135">
        <f t="shared" si="22"/>
        <v>0</v>
      </c>
      <c r="J89" s="147"/>
      <c r="K89" s="155">
        <v>715.99350893213705</v>
      </c>
      <c r="L89" s="88">
        <f t="shared" si="23"/>
        <v>145.69824823633633</v>
      </c>
      <c r="M89" s="160">
        <v>104319</v>
      </c>
      <c r="N89" s="167">
        <v>2016</v>
      </c>
      <c r="O89" s="167">
        <f>IFERROR(('General Input Sheet'!$G$38/(VLOOKUP(N89,'General Input Sheet'!$E$38:$G$44,3,FALSE))),1)</f>
        <v>1</v>
      </c>
      <c r="P89" s="186">
        <f t="shared" si="15"/>
        <v>104319</v>
      </c>
      <c r="Q89" s="89" t="str">
        <f t="shared" si="24"/>
        <v>y</v>
      </c>
      <c r="R89" s="89" t="str">
        <f t="shared" si="24"/>
        <v>y</v>
      </c>
      <c r="S89" s="89" t="str">
        <f t="shared" si="24"/>
        <v>y</v>
      </c>
      <c r="T89" s="89" t="str">
        <f t="shared" si="24"/>
        <v>y</v>
      </c>
      <c r="U89" s="254" t="str">
        <f t="shared" si="24"/>
        <v>y</v>
      </c>
      <c r="V89" s="308"/>
      <c r="W89" s="309" cm="1">
        <f t="array" ref="W89">_xlfn.IFS(AND(Q89="y",$D89="Local"), 1, AND(Q89="y",$D89&lt;&gt;"Local"),1.49009696454663%, Q89="","")</f>
        <v>1.49009696454663E-2</v>
      </c>
      <c r="X89" s="272" cm="1">
        <f t="array" ref="X89">_xlfn.IFS(AND(R89="y",$D89="Local"), 1, AND(R89="y",$D89&lt;&gt;"Local"),20.7557554582461%, R89="","")</f>
        <v>0.207557554582461</v>
      </c>
      <c r="Y89" s="272" cm="1">
        <f t="array" ref="Y89">_xlfn.IFS(AND(S89="y",$D89="Local"), 1, AND(S89="y",$D89&lt;&gt;"Local"),30.3499104327336%, S89="","")</f>
        <v>0.30349910432733601</v>
      </c>
      <c r="Z89" s="272" cm="1">
        <f t="array" ref="Z89">_xlfn.IFS(AND(T89="y",$D89="Local"), 1, AND(T89="y",$D89&lt;&gt;"Local"),29.0043833288201%, T89="","")</f>
        <v>0.29004383328820099</v>
      </c>
      <c r="AA89" s="272" cm="1">
        <f t="array" ref="AA89">_xlfn.IFS(AND(U89="y",$D89="Local"), 1, AND(U89="y",$D89&lt;&gt;"Local"),18.3998538156536%, U89="","")</f>
        <v>0.183998538156536</v>
      </c>
      <c r="AB89" s="68">
        <f t="shared" si="16"/>
        <v>1.0000000000000004</v>
      </c>
      <c r="AD89" s="306">
        <f t="shared" si="17"/>
        <v>1554.4542524453982</v>
      </c>
      <c r="AE89" s="242">
        <f t="shared" si="18"/>
        <v>21652.19653648774</v>
      </c>
      <c r="AF89" s="242">
        <f t="shared" si="19"/>
        <v>31660.723064323352</v>
      </c>
      <c r="AG89" s="242">
        <f t="shared" si="20"/>
        <v>30257.082644791826</v>
      </c>
      <c r="AH89" s="352">
        <f t="shared" si="21"/>
        <v>19194.54350195167</v>
      </c>
    </row>
    <row r="90" spans="2:34">
      <c r="B90" s="166" t="s">
        <v>218</v>
      </c>
      <c r="C90" s="150"/>
      <c r="D90" s="150" t="s">
        <v>117</v>
      </c>
      <c r="E90" s="150" t="s">
        <v>141</v>
      </c>
      <c r="F90" s="150" t="s">
        <v>641</v>
      </c>
      <c r="G90" s="146"/>
      <c r="H90" s="155"/>
      <c r="I90" s="135">
        <f t="shared" si="22"/>
        <v>0</v>
      </c>
      <c r="J90" s="147"/>
      <c r="K90" s="155">
        <v>1025.9411250026999</v>
      </c>
      <c r="L90" s="88">
        <f t="shared" si="23"/>
        <v>524.65510630406152</v>
      </c>
      <c r="M90" s="160">
        <v>538265.25</v>
      </c>
      <c r="N90" s="167">
        <v>2016</v>
      </c>
      <c r="O90" s="167">
        <f>IFERROR(('General Input Sheet'!$G$38/(VLOOKUP(N90,'General Input Sheet'!$E$38:$G$44,3,FALSE))),1)</f>
        <v>1</v>
      </c>
      <c r="P90" s="189">
        <f t="shared" si="15"/>
        <v>538265.25</v>
      </c>
      <c r="Q90" s="89" t="str">
        <f t="shared" si="24"/>
        <v>y</v>
      </c>
      <c r="R90" s="89" t="str">
        <f t="shared" si="24"/>
        <v>y</v>
      </c>
      <c r="S90" s="89" t="str">
        <f t="shared" si="24"/>
        <v>y</v>
      </c>
      <c r="T90" s="89" t="str">
        <f t="shared" si="24"/>
        <v>y</v>
      </c>
      <c r="U90" s="254" t="str">
        <f t="shared" si="24"/>
        <v>y</v>
      </c>
      <c r="V90" s="308"/>
      <c r="W90" s="309" cm="1">
        <f t="array" ref="W90">_xlfn.IFS(AND(Q90="y",$D90="Local"), 1, AND(Q90="y",$D90&lt;&gt;"Local"),1.49009696454663%, Q90="","")</f>
        <v>1.49009696454663E-2</v>
      </c>
      <c r="X90" s="272" cm="1">
        <f t="array" ref="X90">_xlfn.IFS(AND(R90="y",$D90="Local"), 1, AND(R90="y",$D90&lt;&gt;"Local"),20.7557554582461%, R90="","")</f>
        <v>0.207557554582461</v>
      </c>
      <c r="Y90" s="272" cm="1">
        <f t="array" ref="Y90">_xlfn.IFS(AND(S90="y",$D90="Local"), 1, AND(S90="y",$D90&lt;&gt;"Local"),30.3499104327336%, S90="","")</f>
        <v>0.30349910432733601</v>
      </c>
      <c r="Z90" s="272" cm="1">
        <f t="array" ref="Z90">_xlfn.IFS(AND(T90="y",$D90="Local"), 1, AND(T90="y",$D90&lt;&gt;"Local"),29.0043833288201%, T90="","")</f>
        <v>0.29004383328820099</v>
      </c>
      <c r="AA90" s="272" cm="1">
        <f t="array" ref="AA90">_xlfn.IFS(AND(U90="y",$D90="Local"), 1, AND(U90="y",$D90&lt;&gt;"Local"),18.3998538156536%, U90="","")</f>
        <v>0.183998538156536</v>
      </c>
      <c r="AB90" s="68">
        <f t="shared" si="16"/>
        <v>1.0000000000000004</v>
      </c>
      <c r="AD90" s="306">
        <f t="shared" si="17"/>
        <v>8020.6741514593259</v>
      </c>
      <c r="AE90" s="242">
        <f t="shared" si="18"/>
        <v>111721.01900671698</v>
      </c>
      <c r="AF90" s="242">
        <f t="shared" si="19"/>
        <v>163363.02126552953</v>
      </c>
      <c r="AG90" s="242">
        <f t="shared" si="20"/>
        <v>156120.51643583176</v>
      </c>
      <c r="AH90" s="352">
        <f t="shared" si="21"/>
        <v>99040.019140462347</v>
      </c>
    </row>
    <row r="91" spans="2:34">
      <c r="B91" s="166" t="s">
        <v>219</v>
      </c>
      <c r="C91" s="150"/>
      <c r="D91" s="150" t="s">
        <v>116</v>
      </c>
      <c r="E91" s="150" t="s">
        <v>143</v>
      </c>
      <c r="F91" s="150" t="s">
        <v>642</v>
      </c>
      <c r="G91" s="146"/>
      <c r="H91" s="155"/>
      <c r="I91" s="135">
        <f t="shared" si="22"/>
        <v>0</v>
      </c>
      <c r="J91" s="147"/>
      <c r="K91" s="155">
        <v>45.819389073708201</v>
      </c>
      <c r="L91" s="88">
        <f t="shared" si="23"/>
        <v>6.5474465300573842E-4</v>
      </c>
      <c r="M91" s="160">
        <v>0.03</v>
      </c>
      <c r="N91" s="167">
        <v>2016</v>
      </c>
      <c r="O91" s="167">
        <f>IFERROR(('General Input Sheet'!$G$38/(VLOOKUP(N91,'General Input Sheet'!$E$38:$G$44,3,FALSE))),1)</f>
        <v>1</v>
      </c>
      <c r="P91" s="189">
        <f t="shared" si="15"/>
        <v>0.03</v>
      </c>
      <c r="Q91" s="89" t="str">
        <f t="shared" si="24"/>
        <v/>
      </c>
      <c r="R91" s="89" t="str">
        <f t="shared" si="24"/>
        <v/>
      </c>
      <c r="S91" s="89" t="str">
        <f t="shared" si="24"/>
        <v/>
      </c>
      <c r="T91" s="89" t="str">
        <f t="shared" si="24"/>
        <v/>
      </c>
      <c r="U91" s="254" t="str">
        <f t="shared" si="24"/>
        <v>y</v>
      </c>
      <c r="V91" s="308"/>
      <c r="W91" s="309" t="str" cm="1">
        <f t="array" ref="W91">_xlfn.IFS(AND(Q91="y",$D91="Local"), 1, AND(Q91="y",$D91&lt;&gt;"Local"),1.49009696454663%, Q91="","")</f>
        <v/>
      </c>
      <c r="X91" s="272" t="str" cm="1">
        <f t="array" ref="X91">_xlfn.IFS(AND(R91="y",$D91="Local"), 1, AND(R91="y",$D91&lt;&gt;"Local"),20.7557554582461%, R91="","")</f>
        <v/>
      </c>
      <c r="Y91" s="272" t="str" cm="1">
        <f t="array" ref="Y91">_xlfn.IFS(AND(S91="y",$D91="Local"), 1, AND(S91="y",$D91&lt;&gt;"Local"),30.3499104327336%, S91="","")</f>
        <v/>
      </c>
      <c r="Z91" s="272" t="str" cm="1">
        <f t="array" ref="Z91">_xlfn.IFS(AND(T91="y",$D91="Local"), 1, AND(T91="y",$D91&lt;&gt;"Local"),29.0043833288201%, T91="","")</f>
        <v/>
      </c>
      <c r="AA91" s="272" cm="1">
        <f t="array" ref="AA91">_xlfn.IFS(AND(U91="y",$D91="Local"), 1, AND(U91="y",$D91&lt;&gt;"Local"),18.3998538156536%, U91="","")</f>
        <v>1</v>
      </c>
      <c r="AB91" s="68">
        <f t="shared" si="16"/>
        <v>1</v>
      </c>
      <c r="AD91" s="306" t="str">
        <f t="shared" si="17"/>
        <v/>
      </c>
      <c r="AE91" s="242" t="str">
        <f t="shared" si="18"/>
        <v/>
      </c>
      <c r="AF91" s="242" t="str">
        <f t="shared" si="19"/>
        <v/>
      </c>
      <c r="AG91" s="242" t="str">
        <f t="shared" si="20"/>
        <v/>
      </c>
      <c r="AH91" s="352">
        <f t="shared" si="21"/>
        <v>0.03</v>
      </c>
    </row>
    <row r="92" spans="2:34">
      <c r="B92" s="166" t="s">
        <v>220</v>
      </c>
      <c r="C92" s="150"/>
      <c r="D92" s="150" t="s">
        <v>118</v>
      </c>
      <c r="E92" s="150" t="s">
        <v>142</v>
      </c>
      <c r="F92" s="150" t="s">
        <v>643</v>
      </c>
      <c r="G92" s="146"/>
      <c r="H92" s="155"/>
      <c r="I92" s="135">
        <f t="shared" si="22"/>
        <v>0</v>
      </c>
      <c r="J92" s="147"/>
      <c r="K92" s="155">
        <v>434.62932359936502</v>
      </c>
      <c r="L92" s="88">
        <f t="shared" si="23"/>
        <v>288.02198379829446</v>
      </c>
      <c r="M92" s="160">
        <v>125182.8</v>
      </c>
      <c r="N92" s="167">
        <v>2016</v>
      </c>
      <c r="O92" s="167">
        <f>IFERROR(('General Input Sheet'!$G$38/(VLOOKUP(N92,'General Input Sheet'!$E$38:$G$44,3,FALSE))),1)</f>
        <v>1</v>
      </c>
      <c r="P92" s="189">
        <f t="shared" si="15"/>
        <v>125182.8</v>
      </c>
      <c r="Q92" s="89" t="str">
        <f t="shared" si="24"/>
        <v>y</v>
      </c>
      <c r="R92" s="89" t="str">
        <f t="shared" si="24"/>
        <v>y</v>
      </c>
      <c r="S92" s="89" t="str">
        <f t="shared" si="24"/>
        <v>y</v>
      </c>
      <c r="T92" s="89" t="str">
        <f t="shared" si="24"/>
        <v>y</v>
      </c>
      <c r="U92" s="254" t="str">
        <f t="shared" si="24"/>
        <v>y</v>
      </c>
      <c r="V92" s="308"/>
      <c r="W92" s="309" cm="1">
        <f t="array" ref="W92">_xlfn.IFS(AND(Q92="y",$D92="Local"), 1, AND(Q92="y",$D92&lt;&gt;"Local"),1.49009696454663%, Q92="","")</f>
        <v>1.49009696454663E-2</v>
      </c>
      <c r="X92" s="272" cm="1">
        <f t="array" ref="X92">_xlfn.IFS(AND(R92="y",$D92="Local"), 1, AND(R92="y",$D92&lt;&gt;"Local"),20.7557554582461%, R92="","")</f>
        <v>0.207557554582461</v>
      </c>
      <c r="Y92" s="272" cm="1">
        <f t="array" ref="Y92">_xlfn.IFS(AND(S92="y",$D92="Local"), 1, AND(S92="y",$D92&lt;&gt;"Local"),30.3499104327336%, S92="","")</f>
        <v>0.30349910432733601</v>
      </c>
      <c r="Z92" s="272" cm="1">
        <f t="array" ref="Z92">_xlfn.IFS(AND(T92="y",$D92="Local"), 1, AND(T92="y",$D92&lt;&gt;"Local"),29.0043833288201%, T92="","")</f>
        <v>0.29004383328820099</v>
      </c>
      <c r="AA92" s="272" cm="1">
        <f t="array" ref="AA92">_xlfn.IFS(AND(U92="y",$D92="Local"), 1, AND(U92="y",$D92&lt;&gt;"Local"),18.3998538156536%, U92="","")</f>
        <v>0.183998538156536</v>
      </c>
      <c r="AB92" s="68">
        <f t="shared" si="16"/>
        <v>1.0000000000000004</v>
      </c>
      <c r="AD92" s="306">
        <f t="shared" si="17"/>
        <v>1865.3451029344778</v>
      </c>
      <c r="AE92" s="242">
        <f t="shared" si="18"/>
        <v>25982.63584378529</v>
      </c>
      <c r="AF92" s="242">
        <f t="shared" si="19"/>
        <v>37992.867677188027</v>
      </c>
      <c r="AG92" s="242">
        <f t="shared" si="20"/>
        <v>36308.499173750191</v>
      </c>
      <c r="AH92" s="352">
        <f t="shared" si="21"/>
        <v>23033.452202342003</v>
      </c>
    </row>
    <row r="93" spans="2:34">
      <c r="B93" s="166" t="s">
        <v>221</v>
      </c>
      <c r="C93" s="150"/>
      <c r="D93" s="150" t="s">
        <v>118</v>
      </c>
      <c r="E93" s="150" t="s">
        <v>142</v>
      </c>
      <c r="F93" s="150" t="s">
        <v>644</v>
      </c>
      <c r="G93" s="146"/>
      <c r="H93" s="155"/>
      <c r="I93" s="135">
        <f t="shared" si="22"/>
        <v>0</v>
      </c>
      <c r="J93" s="147"/>
      <c r="K93" s="155">
        <v>1017.25693376428</v>
      </c>
      <c r="L93" s="88">
        <f t="shared" si="23"/>
        <v>573.01157716666921</v>
      </c>
      <c r="M93" s="160">
        <v>582900</v>
      </c>
      <c r="N93" s="167">
        <v>2016</v>
      </c>
      <c r="O93" s="167">
        <f>IFERROR(('General Input Sheet'!$G$38/(VLOOKUP(N93,'General Input Sheet'!$E$38:$G$44,3,FALSE))),1)</f>
        <v>1</v>
      </c>
      <c r="P93" s="189">
        <f t="shared" si="15"/>
        <v>582900</v>
      </c>
      <c r="Q93" s="89" t="str">
        <f t="shared" si="24"/>
        <v>y</v>
      </c>
      <c r="R93" s="89" t="str">
        <f t="shared" si="24"/>
        <v>y</v>
      </c>
      <c r="S93" s="89" t="str">
        <f t="shared" si="24"/>
        <v>y</v>
      </c>
      <c r="T93" s="89" t="str">
        <f t="shared" si="24"/>
        <v>y</v>
      </c>
      <c r="U93" s="254" t="str">
        <f t="shared" si="24"/>
        <v>y</v>
      </c>
      <c r="V93" s="308"/>
      <c r="W93" s="309" cm="1">
        <f t="array" ref="W93">_xlfn.IFS(AND(Q93="y",$D93="Local"), 1, AND(Q93="y",$D93&lt;&gt;"Local"),1.49009696454663%, Q93="","")</f>
        <v>1.49009696454663E-2</v>
      </c>
      <c r="X93" s="272" cm="1">
        <f t="array" ref="X93">_xlfn.IFS(AND(R93="y",$D93="Local"), 1, AND(R93="y",$D93&lt;&gt;"Local"),20.7557554582461%, R93="","")</f>
        <v>0.207557554582461</v>
      </c>
      <c r="Y93" s="272" cm="1">
        <f t="array" ref="Y93">_xlfn.IFS(AND(S93="y",$D93="Local"), 1, AND(S93="y",$D93&lt;&gt;"Local"),30.3499104327336%, S93="","")</f>
        <v>0.30349910432733601</v>
      </c>
      <c r="Z93" s="272" cm="1">
        <f t="array" ref="Z93">_xlfn.IFS(AND(T93="y",$D93="Local"), 1, AND(T93="y",$D93&lt;&gt;"Local"),29.0043833288201%, T93="","")</f>
        <v>0.29004383328820099</v>
      </c>
      <c r="AA93" s="272" cm="1">
        <f t="array" ref="AA93">_xlfn.IFS(AND(U93="y",$D93="Local"), 1, AND(U93="y",$D93&lt;&gt;"Local"),18.3998538156536%, U93="","")</f>
        <v>0.183998538156536</v>
      </c>
      <c r="AB93" s="68">
        <f t="shared" si="16"/>
        <v>1.0000000000000004</v>
      </c>
      <c r="AD93" s="306">
        <f t="shared" si="17"/>
        <v>8685.7752063423031</v>
      </c>
      <c r="AE93" s="242">
        <f t="shared" si="18"/>
        <v>120985.29856611647</v>
      </c>
      <c r="AF93" s="242">
        <f t="shared" si="19"/>
        <v>176909.6279124041</v>
      </c>
      <c r="AG93" s="242">
        <f t="shared" si="20"/>
        <v>169066.5504236923</v>
      </c>
      <c r="AH93" s="352">
        <f t="shared" si="21"/>
        <v>107252.74789144479</v>
      </c>
    </row>
    <row r="94" spans="2:34">
      <c r="B94" s="166" t="s">
        <v>222</v>
      </c>
      <c r="C94" s="150"/>
      <c r="D94" s="150" t="s">
        <v>118</v>
      </c>
      <c r="E94" s="150" t="s">
        <v>142</v>
      </c>
      <c r="F94" s="150" t="s">
        <v>645</v>
      </c>
      <c r="G94" s="146"/>
      <c r="H94" s="155"/>
      <c r="I94" s="135">
        <f t="shared" si="22"/>
        <v>0</v>
      </c>
      <c r="J94" s="147"/>
      <c r="K94" s="155">
        <v>431.18911022084399</v>
      </c>
      <c r="L94" s="88">
        <f t="shared" si="23"/>
        <v>314.51327685558118</v>
      </c>
      <c r="M94" s="160">
        <v>135614.70000000001</v>
      </c>
      <c r="N94" s="167">
        <v>2016</v>
      </c>
      <c r="O94" s="167">
        <f>IFERROR(('General Input Sheet'!$G$38/(VLOOKUP(N94,'General Input Sheet'!$E$38:$G$44,3,FALSE))),1)</f>
        <v>1</v>
      </c>
      <c r="P94" s="189">
        <f t="shared" si="15"/>
        <v>135614.70000000001</v>
      </c>
      <c r="Q94" s="89" t="str">
        <f t="shared" si="24"/>
        <v>y</v>
      </c>
      <c r="R94" s="89" t="str">
        <f t="shared" si="24"/>
        <v>y</v>
      </c>
      <c r="S94" s="89" t="str">
        <f t="shared" si="24"/>
        <v>y</v>
      </c>
      <c r="T94" s="89" t="str">
        <f t="shared" si="24"/>
        <v>y</v>
      </c>
      <c r="U94" s="254" t="str">
        <f t="shared" si="24"/>
        <v>y</v>
      </c>
      <c r="V94" s="308"/>
      <c r="W94" s="309" cm="1">
        <f t="array" ref="W94">_xlfn.IFS(AND(Q94="y",$D94="Local"), 1, AND(Q94="y",$D94&lt;&gt;"Local"),1.49009696454663%, Q94="","")</f>
        <v>1.49009696454663E-2</v>
      </c>
      <c r="X94" s="272" cm="1">
        <f t="array" ref="X94">_xlfn.IFS(AND(R94="y",$D94="Local"), 1, AND(R94="y",$D94&lt;&gt;"Local"),20.7557554582461%, R94="","")</f>
        <v>0.207557554582461</v>
      </c>
      <c r="Y94" s="272" cm="1">
        <f t="array" ref="Y94">_xlfn.IFS(AND(S94="y",$D94="Local"), 1, AND(S94="y",$D94&lt;&gt;"Local"),30.3499104327336%, S94="","")</f>
        <v>0.30349910432733601</v>
      </c>
      <c r="Z94" s="272" cm="1">
        <f t="array" ref="Z94">_xlfn.IFS(AND(T94="y",$D94="Local"), 1, AND(T94="y",$D94&lt;&gt;"Local"),29.0043833288201%, T94="","")</f>
        <v>0.29004383328820099</v>
      </c>
      <c r="AA94" s="272" cm="1">
        <f t="array" ref="AA94">_xlfn.IFS(AND(U94="y",$D94="Local"), 1, AND(U94="y",$D94&lt;&gt;"Local"),18.3998538156536%, U94="","")</f>
        <v>0.183998538156536</v>
      </c>
      <c r="AB94" s="68">
        <f t="shared" si="16"/>
        <v>1.0000000000000004</v>
      </c>
      <c r="AD94" s="306">
        <f t="shared" si="17"/>
        <v>2020.7905281790179</v>
      </c>
      <c r="AE94" s="242">
        <f t="shared" si="18"/>
        <v>28147.855497434066</v>
      </c>
      <c r="AF94" s="242">
        <f t="shared" si="19"/>
        <v>41158.939983620367</v>
      </c>
      <c r="AG94" s="242">
        <f t="shared" si="20"/>
        <v>39334.207438229379</v>
      </c>
      <c r="AH94" s="352">
        <f t="shared" si="21"/>
        <v>24952.906552537173</v>
      </c>
    </row>
    <row r="95" spans="2:34">
      <c r="B95" s="166" t="s">
        <v>223</v>
      </c>
      <c r="C95" s="150"/>
      <c r="D95" s="150" t="s">
        <v>118</v>
      </c>
      <c r="E95" s="150" t="s">
        <v>142</v>
      </c>
      <c r="F95" s="150" t="s">
        <v>646</v>
      </c>
      <c r="G95" s="146"/>
      <c r="H95" s="155"/>
      <c r="I95" s="135">
        <f t="shared" si="22"/>
        <v>0</v>
      </c>
      <c r="J95" s="147"/>
      <c r="K95" s="155">
        <v>429.74431986939197</v>
      </c>
      <c r="L95" s="88">
        <f t="shared" si="23"/>
        <v>267.02133034562303</v>
      </c>
      <c r="M95" s="160">
        <v>114750.9</v>
      </c>
      <c r="N95" s="167">
        <v>2016</v>
      </c>
      <c r="O95" s="167">
        <f>IFERROR(('General Input Sheet'!$G$38/(VLOOKUP(N95,'General Input Sheet'!$E$38:$G$44,3,FALSE))),1)</f>
        <v>1</v>
      </c>
      <c r="P95" s="189">
        <f t="shared" si="15"/>
        <v>114750.9</v>
      </c>
      <c r="Q95" s="89" t="str">
        <f t="shared" si="24"/>
        <v>y</v>
      </c>
      <c r="R95" s="89" t="str">
        <f t="shared" si="24"/>
        <v>y</v>
      </c>
      <c r="S95" s="89" t="str">
        <f t="shared" si="24"/>
        <v>y</v>
      </c>
      <c r="T95" s="89" t="str">
        <f t="shared" si="24"/>
        <v>y</v>
      </c>
      <c r="U95" s="254" t="str">
        <f t="shared" si="24"/>
        <v>y</v>
      </c>
      <c r="V95" s="308"/>
      <c r="W95" s="309" cm="1">
        <f t="array" ref="W95">_xlfn.IFS(AND(Q95="y",$D95="Local"), 1, AND(Q95="y",$D95&lt;&gt;"Local"),1.49009696454663%, Q95="","")</f>
        <v>1.49009696454663E-2</v>
      </c>
      <c r="X95" s="272" cm="1">
        <f t="array" ref="X95">_xlfn.IFS(AND(R95="y",$D95="Local"), 1, AND(R95="y",$D95&lt;&gt;"Local"),20.7557554582461%, R95="","")</f>
        <v>0.207557554582461</v>
      </c>
      <c r="Y95" s="272" cm="1">
        <f t="array" ref="Y95">_xlfn.IFS(AND(S95="y",$D95="Local"), 1, AND(S95="y",$D95&lt;&gt;"Local"),30.3499104327336%, S95="","")</f>
        <v>0.30349910432733601</v>
      </c>
      <c r="Z95" s="272" cm="1">
        <f t="array" ref="Z95">_xlfn.IFS(AND(T95="y",$D95="Local"), 1, AND(T95="y",$D95&lt;&gt;"Local"),29.0043833288201%, T95="","")</f>
        <v>0.29004383328820099</v>
      </c>
      <c r="AA95" s="272" cm="1">
        <f t="array" ref="AA95">_xlfn.IFS(AND(U95="y",$D95="Local"), 1, AND(U95="y",$D95&lt;&gt;"Local"),18.3998538156536%, U95="","")</f>
        <v>0.183998538156536</v>
      </c>
      <c r="AB95" s="68">
        <f t="shared" si="16"/>
        <v>1.0000000000000004</v>
      </c>
      <c r="AD95" s="306">
        <f t="shared" si="17"/>
        <v>1709.899677689938</v>
      </c>
      <c r="AE95" s="242">
        <f t="shared" si="18"/>
        <v>23817.416190136515</v>
      </c>
      <c r="AF95" s="242">
        <f t="shared" si="19"/>
        <v>34826.795370755688</v>
      </c>
      <c r="AG95" s="242">
        <f t="shared" si="20"/>
        <v>33282.790909271011</v>
      </c>
      <c r="AH95" s="352">
        <f t="shared" si="21"/>
        <v>21113.997852146837</v>
      </c>
    </row>
    <row r="96" spans="2:34">
      <c r="B96" s="166" t="s">
        <v>224</v>
      </c>
      <c r="C96" s="150"/>
      <c r="D96" s="150" t="s">
        <v>118</v>
      </c>
      <c r="E96" s="150" t="s">
        <v>142</v>
      </c>
      <c r="F96" s="150" t="s">
        <v>647</v>
      </c>
      <c r="G96" s="146"/>
      <c r="H96" s="155"/>
      <c r="I96" s="135">
        <f t="shared" si="22"/>
        <v>0</v>
      </c>
      <c r="J96" s="147"/>
      <c r="K96" s="155">
        <v>430.26968244265299</v>
      </c>
      <c r="L96" s="88">
        <f t="shared" si="23"/>
        <v>315.18534894234608</v>
      </c>
      <c r="M96" s="160">
        <v>135614.70000000001</v>
      </c>
      <c r="N96" s="167">
        <v>2016</v>
      </c>
      <c r="O96" s="167">
        <f>IFERROR(('General Input Sheet'!$G$38/(VLOOKUP(N96,'General Input Sheet'!$E$38:$G$44,3,FALSE))),1)</f>
        <v>1</v>
      </c>
      <c r="P96" s="189">
        <f t="shared" si="15"/>
        <v>135614.70000000001</v>
      </c>
      <c r="Q96" s="89" t="str">
        <f t="shared" si="24"/>
        <v>y</v>
      </c>
      <c r="R96" s="89" t="str">
        <f t="shared" si="24"/>
        <v>y</v>
      </c>
      <c r="S96" s="89" t="str">
        <f t="shared" si="24"/>
        <v>y</v>
      </c>
      <c r="T96" s="89" t="str">
        <f t="shared" si="24"/>
        <v>y</v>
      </c>
      <c r="U96" s="254" t="str">
        <f t="shared" si="24"/>
        <v>y</v>
      </c>
      <c r="V96" s="308"/>
      <c r="W96" s="309" cm="1">
        <f t="array" ref="W96">_xlfn.IFS(AND(Q96="y",$D96="Local"), 1, AND(Q96="y",$D96&lt;&gt;"Local"),1.49009696454663%, Q96="","")</f>
        <v>1.49009696454663E-2</v>
      </c>
      <c r="X96" s="272" cm="1">
        <f t="array" ref="X96">_xlfn.IFS(AND(R96="y",$D96="Local"), 1, AND(R96="y",$D96&lt;&gt;"Local"),20.7557554582461%, R96="","")</f>
        <v>0.207557554582461</v>
      </c>
      <c r="Y96" s="272" cm="1">
        <f t="array" ref="Y96">_xlfn.IFS(AND(S96="y",$D96="Local"), 1, AND(S96="y",$D96&lt;&gt;"Local"),30.3499104327336%, S96="","")</f>
        <v>0.30349910432733601</v>
      </c>
      <c r="Z96" s="272" cm="1">
        <f t="array" ref="Z96">_xlfn.IFS(AND(T96="y",$D96="Local"), 1, AND(T96="y",$D96&lt;&gt;"Local"),29.0043833288201%, T96="","")</f>
        <v>0.29004383328820099</v>
      </c>
      <c r="AA96" s="272" cm="1">
        <f t="array" ref="AA96">_xlfn.IFS(AND(U96="y",$D96="Local"), 1, AND(U96="y",$D96&lt;&gt;"Local"),18.3998538156536%, U96="","")</f>
        <v>0.183998538156536</v>
      </c>
      <c r="AB96" s="68">
        <f t="shared" si="16"/>
        <v>1.0000000000000004</v>
      </c>
      <c r="AD96" s="306">
        <f t="shared" si="17"/>
        <v>2020.7905281790179</v>
      </c>
      <c r="AE96" s="242">
        <f t="shared" si="18"/>
        <v>28147.855497434066</v>
      </c>
      <c r="AF96" s="242">
        <f t="shared" si="19"/>
        <v>41158.939983620367</v>
      </c>
      <c r="AG96" s="242">
        <f t="shared" si="20"/>
        <v>39334.207438229379</v>
      </c>
      <c r="AH96" s="352">
        <f t="shared" si="21"/>
        <v>24952.906552537173</v>
      </c>
    </row>
    <row r="97" spans="2:34">
      <c r="B97" s="166" t="s">
        <v>225</v>
      </c>
      <c r="C97" s="150"/>
      <c r="D97" s="150" t="s">
        <v>118</v>
      </c>
      <c r="E97" s="150" t="s">
        <v>142</v>
      </c>
      <c r="F97" s="150" t="s">
        <v>648</v>
      </c>
      <c r="G97" s="146"/>
      <c r="H97" s="155"/>
      <c r="I97" s="135">
        <f t="shared" si="22"/>
        <v>0</v>
      </c>
      <c r="J97" s="147"/>
      <c r="K97" s="155">
        <v>427.85818719135801</v>
      </c>
      <c r="L97" s="88">
        <f t="shared" si="23"/>
        <v>268.19844386588323</v>
      </c>
      <c r="M97" s="160">
        <v>114750.9</v>
      </c>
      <c r="N97" s="167">
        <v>2016</v>
      </c>
      <c r="O97" s="167">
        <f>IFERROR(('General Input Sheet'!$G$38/(VLOOKUP(N97,'General Input Sheet'!$E$38:$G$44,3,FALSE))),1)</f>
        <v>1</v>
      </c>
      <c r="P97" s="189">
        <f t="shared" si="15"/>
        <v>114750.9</v>
      </c>
      <c r="Q97" s="89" t="str">
        <f t="shared" si="24"/>
        <v>y</v>
      </c>
      <c r="R97" s="89" t="str">
        <f t="shared" si="24"/>
        <v>y</v>
      </c>
      <c r="S97" s="89" t="str">
        <f t="shared" si="24"/>
        <v>y</v>
      </c>
      <c r="T97" s="89" t="str">
        <f t="shared" si="24"/>
        <v>y</v>
      </c>
      <c r="U97" s="254" t="str">
        <f t="shared" si="24"/>
        <v>y</v>
      </c>
      <c r="V97" s="308"/>
      <c r="W97" s="309" cm="1">
        <f t="array" ref="W97">_xlfn.IFS(AND(Q97="y",$D97="Local"), 1, AND(Q97="y",$D97&lt;&gt;"Local"),1.49009696454663%, Q97="","")</f>
        <v>1.49009696454663E-2</v>
      </c>
      <c r="X97" s="272" cm="1">
        <f t="array" ref="X97">_xlfn.IFS(AND(R97="y",$D97="Local"), 1, AND(R97="y",$D97&lt;&gt;"Local"),20.7557554582461%, R97="","")</f>
        <v>0.207557554582461</v>
      </c>
      <c r="Y97" s="272" cm="1">
        <f t="array" ref="Y97">_xlfn.IFS(AND(S97="y",$D97="Local"), 1, AND(S97="y",$D97&lt;&gt;"Local"),30.3499104327336%, S97="","")</f>
        <v>0.30349910432733601</v>
      </c>
      <c r="Z97" s="272" cm="1">
        <f t="array" ref="Z97">_xlfn.IFS(AND(T97="y",$D97="Local"), 1, AND(T97="y",$D97&lt;&gt;"Local"),29.0043833288201%, T97="","")</f>
        <v>0.29004383328820099</v>
      </c>
      <c r="AA97" s="272" cm="1">
        <f t="array" ref="AA97">_xlfn.IFS(AND(U97="y",$D97="Local"), 1, AND(U97="y",$D97&lt;&gt;"Local"),18.3998538156536%, U97="","")</f>
        <v>0.183998538156536</v>
      </c>
      <c r="AB97" s="68">
        <f t="shared" si="16"/>
        <v>1.0000000000000004</v>
      </c>
      <c r="AD97" s="306">
        <f t="shared" si="17"/>
        <v>1709.899677689938</v>
      </c>
      <c r="AE97" s="242">
        <f t="shared" si="18"/>
        <v>23817.416190136515</v>
      </c>
      <c r="AF97" s="242">
        <f t="shared" si="19"/>
        <v>34826.795370755688</v>
      </c>
      <c r="AG97" s="242">
        <f t="shared" si="20"/>
        <v>33282.790909271011</v>
      </c>
      <c r="AH97" s="352">
        <f t="shared" si="21"/>
        <v>21113.997852146837</v>
      </c>
    </row>
    <row r="98" spans="2:34">
      <c r="B98" s="166" t="s">
        <v>226</v>
      </c>
      <c r="C98" s="150"/>
      <c r="D98" s="150" t="s">
        <v>118</v>
      </c>
      <c r="E98" s="150" t="s">
        <v>142</v>
      </c>
      <c r="F98" s="150" t="s">
        <v>649</v>
      </c>
      <c r="G98" s="146"/>
      <c r="H98" s="155"/>
      <c r="I98" s="135">
        <f t="shared" si="22"/>
        <v>0</v>
      </c>
      <c r="J98" s="147"/>
      <c r="K98" s="155">
        <v>429.91930882654299</v>
      </c>
      <c r="L98" s="88">
        <f t="shared" si="23"/>
        <v>315.44221721550002</v>
      </c>
      <c r="M98" s="160">
        <v>135614.70000000001</v>
      </c>
      <c r="N98" s="167">
        <v>2016</v>
      </c>
      <c r="O98" s="167">
        <f>IFERROR(('General Input Sheet'!$G$38/(VLOOKUP(N98,'General Input Sheet'!$E$38:$G$44,3,FALSE))),1)</f>
        <v>1</v>
      </c>
      <c r="P98" s="189">
        <f t="shared" si="15"/>
        <v>135614.70000000001</v>
      </c>
      <c r="Q98" s="89" t="str">
        <f t="shared" si="24"/>
        <v>y</v>
      </c>
      <c r="R98" s="89" t="str">
        <f t="shared" si="24"/>
        <v>y</v>
      </c>
      <c r="S98" s="89" t="str">
        <f t="shared" si="24"/>
        <v>y</v>
      </c>
      <c r="T98" s="89" t="str">
        <f t="shared" si="24"/>
        <v>y</v>
      </c>
      <c r="U98" s="254" t="str">
        <f t="shared" si="24"/>
        <v>y</v>
      </c>
      <c r="V98" s="308"/>
      <c r="W98" s="309" cm="1">
        <f t="array" ref="W98">_xlfn.IFS(AND(Q98="y",$D98="Local"), 1, AND(Q98="y",$D98&lt;&gt;"Local"),1.49009696454663%, Q98="","")</f>
        <v>1.49009696454663E-2</v>
      </c>
      <c r="X98" s="272" cm="1">
        <f t="array" ref="X98">_xlfn.IFS(AND(R98="y",$D98="Local"), 1, AND(R98="y",$D98&lt;&gt;"Local"),20.7557554582461%, R98="","")</f>
        <v>0.207557554582461</v>
      </c>
      <c r="Y98" s="272" cm="1">
        <f t="array" ref="Y98">_xlfn.IFS(AND(S98="y",$D98="Local"), 1, AND(S98="y",$D98&lt;&gt;"Local"),30.3499104327336%, S98="","")</f>
        <v>0.30349910432733601</v>
      </c>
      <c r="Z98" s="272" cm="1">
        <f t="array" ref="Z98">_xlfn.IFS(AND(T98="y",$D98="Local"), 1, AND(T98="y",$D98&lt;&gt;"Local"),29.0043833288201%, T98="","")</f>
        <v>0.29004383328820099</v>
      </c>
      <c r="AA98" s="272" cm="1">
        <f t="array" ref="AA98">_xlfn.IFS(AND(U98="y",$D98="Local"), 1, AND(U98="y",$D98&lt;&gt;"Local"),18.3998538156536%, U98="","")</f>
        <v>0.183998538156536</v>
      </c>
      <c r="AB98" s="68">
        <f t="shared" si="16"/>
        <v>1.0000000000000004</v>
      </c>
      <c r="AD98" s="306">
        <f t="shared" si="17"/>
        <v>2020.7905281790179</v>
      </c>
      <c r="AE98" s="242">
        <f t="shared" si="18"/>
        <v>28147.855497434066</v>
      </c>
      <c r="AF98" s="242">
        <f t="shared" si="19"/>
        <v>41158.939983620367</v>
      </c>
      <c r="AG98" s="242">
        <f t="shared" si="20"/>
        <v>39334.207438229379</v>
      </c>
      <c r="AH98" s="352">
        <f t="shared" si="21"/>
        <v>24952.906552537173</v>
      </c>
    </row>
    <row r="99" spans="2:34">
      <c r="B99" s="166" t="s">
        <v>227</v>
      </c>
      <c r="C99" s="150"/>
      <c r="D99" s="150" t="s">
        <v>118</v>
      </c>
      <c r="E99" s="150" t="s">
        <v>142</v>
      </c>
      <c r="F99" s="150" t="s">
        <v>650</v>
      </c>
      <c r="G99" s="146"/>
      <c r="H99" s="155"/>
      <c r="I99" s="135">
        <f t="shared" si="22"/>
        <v>0</v>
      </c>
      <c r="J99" s="147"/>
      <c r="K99" s="155">
        <v>431.44659378980998</v>
      </c>
      <c r="L99" s="88">
        <f t="shared" si="23"/>
        <v>265.96779682980593</v>
      </c>
      <c r="M99" s="160">
        <v>114750.9</v>
      </c>
      <c r="N99" s="167">
        <v>2016</v>
      </c>
      <c r="O99" s="167">
        <f>IFERROR(('General Input Sheet'!$G$38/(VLOOKUP(N99,'General Input Sheet'!$E$38:$G$44,3,FALSE))),1)</f>
        <v>1</v>
      </c>
      <c r="P99" s="189">
        <f t="shared" si="15"/>
        <v>114750.9</v>
      </c>
      <c r="Q99" s="89" t="str">
        <f t="shared" si="24"/>
        <v>y</v>
      </c>
      <c r="R99" s="89" t="str">
        <f t="shared" si="24"/>
        <v>y</v>
      </c>
      <c r="S99" s="89" t="str">
        <f t="shared" si="24"/>
        <v>y</v>
      </c>
      <c r="T99" s="89" t="str">
        <f t="shared" si="24"/>
        <v>y</v>
      </c>
      <c r="U99" s="254" t="str">
        <f t="shared" si="24"/>
        <v>y</v>
      </c>
      <c r="V99" s="308"/>
      <c r="W99" s="309" cm="1">
        <f t="array" ref="W99">_xlfn.IFS(AND(Q99="y",$D99="Local"), 1, AND(Q99="y",$D99&lt;&gt;"Local"),1.49009696454663%, Q99="","")</f>
        <v>1.49009696454663E-2</v>
      </c>
      <c r="X99" s="272" cm="1">
        <f t="array" ref="X99">_xlfn.IFS(AND(R99="y",$D99="Local"), 1, AND(R99="y",$D99&lt;&gt;"Local"),20.7557554582461%, R99="","")</f>
        <v>0.207557554582461</v>
      </c>
      <c r="Y99" s="272" cm="1">
        <f t="array" ref="Y99">_xlfn.IFS(AND(S99="y",$D99="Local"), 1, AND(S99="y",$D99&lt;&gt;"Local"),30.3499104327336%, S99="","")</f>
        <v>0.30349910432733601</v>
      </c>
      <c r="Z99" s="272" cm="1">
        <f t="array" ref="Z99">_xlfn.IFS(AND(T99="y",$D99="Local"), 1, AND(T99="y",$D99&lt;&gt;"Local"),29.0043833288201%, T99="","")</f>
        <v>0.29004383328820099</v>
      </c>
      <c r="AA99" s="272" cm="1">
        <f t="array" ref="AA99">_xlfn.IFS(AND(U99="y",$D99="Local"), 1, AND(U99="y",$D99&lt;&gt;"Local"),18.3998538156536%, U99="","")</f>
        <v>0.183998538156536</v>
      </c>
      <c r="AB99" s="68">
        <f t="shared" si="16"/>
        <v>1.0000000000000004</v>
      </c>
      <c r="AD99" s="306">
        <f t="shared" si="17"/>
        <v>1709.899677689938</v>
      </c>
      <c r="AE99" s="242">
        <f t="shared" si="18"/>
        <v>23817.416190136515</v>
      </c>
      <c r="AF99" s="242">
        <f t="shared" si="19"/>
        <v>34826.795370755688</v>
      </c>
      <c r="AG99" s="242">
        <f t="shared" si="20"/>
        <v>33282.790909271011</v>
      </c>
      <c r="AH99" s="352">
        <f t="shared" si="21"/>
        <v>21113.997852146837</v>
      </c>
    </row>
    <row r="100" spans="2:34">
      <c r="B100" s="166" t="s">
        <v>228</v>
      </c>
      <c r="C100" s="150"/>
      <c r="D100" s="150" t="s">
        <v>118</v>
      </c>
      <c r="E100" s="150" t="s">
        <v>142</v>
      </c>
      <c r="F100" s="150" t="s">
        <v>651</v>
      </c>
      <c r="G100" s="146"/>
      <c r="H100" s="155"/>
      <c r="I100" s="135">
        <f t="shared" si="22"/>
        <v>0</v>
      </c>
      <c r="J100" s="147"/>
      <c r="K100" s="155">
        <v>438.67614235097398</v>
      </c>
      <c r="L100" s="88">
        <f t="shared" si="23"/>
        <v>309.14537379034857</v>
      </c>
      <c r="M100" s="160">
        <v>135614.70000000001</v>
      </c>
      <c r="N100" s="167">
        <v>2016</v>
      </c>
      <c r="O100" s="167">
        <f>IFERROR(('General Input Sheet'!$G$38/(VLOOKUP(N100,'General Input Sheet'!$E$38:$G$44,3,FALSE))),1)</f>
        <v>1</v>
      </c>
      <c r="P100" s="189">
        <f t="shared" si="15"/>
        <v>135614.70000000001</v>
      </c>
      <c r="Q100" s="89" t="str">
        <f t="shared" si="24"/>
        <v>y</v>
      </c>
      <c r="R100" s="89" t="str">
        <f t="shared" si="24"/>
        <v>y</v>
      </c>
      <c r="S100" s="89" t="str">
        <f t="shared" si="24"/>
        <v>y</v>
      </c>
      <c r="T100" s="89" t="str">
        <f t="shared" si="24"/>
        <v>y</v>
      </c>
      <c r="U100" s="254" t="str">
        <f t="shared" si="24"/>
        <v>y</v>
      </c>
      <c r="V100" s="308"/>
      <c r="W100" s="309" cm="1">
        <f t="array" ref="W100">_xlfn.IFS(AND(Q100="y",$D100="Local"), 1, AND(Q100="y",$D100&lt;&gt;"Local"),1.49009696454663%, Q100="","")</f>
        <v>1.49009696454663E-2</v>
      </c>
      <c r="X100" s="272" cm="1">
        <f t="array" ref="X100">_xlfn.IFS(AND(R100="y",$D100="Local"), 1, AND(R100="y",$D100&lt;&gt;"Local"),20.7557554582461%, R100="","")</f>
        <v>0.207557554582461</v>
      </c>
      <c r="Y100" s="272" cm="1">
        <f t="array" ref="Y100">_xlfn.IFS(AND(S100="y",$D100="Local"), 1, AND(S100="y",$D100&lt;&gt;"Local"),30.3499104327336%, S100="","")</f>
        <v>0.30349910432733601</v>
      </c>
      <c r="Z100" s="272" cm="1">
        <f t="array" ref="Z100">_xlfn.IFS(AND(T100="y",$D100="Local"), 1, AND(T100="y",$D100&lt;&gt;"Local"),29.0043833288201%, T100="","")</f>
        <v>0.29004383328820099</v>
      </c>
      <c r="AA100" s="272" cm="1">
        <f t="array" ref="AA100">_xlfn.IFS(AND(U100="y",$D100="Local"), 1, AND(U100="y",$D100&lt;&gt;"Local"),18.3998538156536%, U100="","")</f>
        <v>0.183998538156536</v>
      </c>
      <c r="AB100" s="68">
        <f t="shared" si="16"/>
        <v>1.0000000000000004</v>
      </c>
      <c r="AD100" s="306">
        <f t="shared" si="17"/>
        <v>2020.7905281790179</v>
      </c>
      <c r="AE100" s="242">
        <f t="shared" si="18"/>
        <v>28147.855497434066</v>
      </c>
      <c r="AF100" s="242">
        <f t="shared" si="19"/>
        <v>41158.939983620367</v>
      </c>
      <c r="AG100" s="242">
        <f t="shared" si="20"/>
        <v>39334.207438229379</v>
      </c>
      <c r="AH100" s="352">
        <f t="shared" si="21"/>
        <v>24952.906552537173</v>
      </c>
    </row>
    <row r="101" spans="2:34">
      <c r="B101" s="166" t="s">
        <v>229</v>
      </c>
      <c r="C101" s="150"/>
      <c r="D101" s="150" t="s">
        <v>116</v>
      </c>
      <c r="E101" s="150" t="s">
        <v>142</v>
      </c>
      <c r="F101" s="150" t="s">
        <v>652</v>
      </c>
      <c r="G101" s="146"/>
      <c r="H101" s="155"/>
      <c r="I101" s="135">
        <f t="shared" si="22"/>
        <v>0</v>
      </c>
      <c r="J101" s="147"/>
      <c r="K101" s="155">
        <v>157.63420416346</v>
      </c>
      <c r="L101" s="88">
        <f t="shared" si="23"/>
        <v>430.91808887849061</v>
      </c>
      <c r="M101" s="160">
        <v>67927.429999999993</v>
      </c>
      <c r="N101" s="167">
        <v>2016</v>
      </c>
      <c r="O101" s="167">
        <f>IFERROR(('General Input Sheet'!$G$38/(VLOOKUP(N101,'General Input Sheet'!$E$38:$G$44,3,FALSE))),1)</f>
        <v>1</v>
      </c>
      <c r="P101" s="189">
        <f t="shared" si="15"/>
        <v>67927.429999999993</v>
      </c>
      <c r="Q101" s="89" t="str">
        <f t="shared" si="24"/>
        <v/>
      </c>
      <c r="R101" s="89" t="str">
        <f t="shared" si="24"/>
        <v/>
      </c>
      <c r="S101" s="89" t="str">
        <f t="shared" si="24"/>
        <v/>
      </c>
      <c r="T101" s="89" t="str">
        <f t="shared" si="24"/>
        <v>y</v>
      </c>
      <c r="U101" s="254" t="str">
        <f t="shared" si="24"/>
        <v/>
      </c>
      <c r="V101" s="308"/>
      <c r="W101" s="309" t="str" cm="1">
        <f t="array" ref="W101">_xlfn.IFS(AND(Q101="y",$D101="Local"), 1, AND(Q101="y",$D101&lt;&gt;"Local"),1.49009696454663%, Q101="","")</f>
        <v/>
      </c>
      <c r="X101" s="272" t="str" cm="1">
        <f t="array" ref="X101">_xlfn.IFS(AND(R101="y",$D101="Local"), 1, AND(R101="y",$D101&lt;&gt;"Local"),20.7557554582461%, R101="","")</f>
        <v/>
      </c>
      <c r="Y101" s="272" t="str" cm="1">
        <f t="array" ref="Y101">_xlfn.IFS(AND(S101="y",$D101="Local"), 1, AND(S101="y",$D101&lt;&gt;"Local"),30.3499104327336%, S101="","")</f>
        <v/>
      </c>
      <c r="Z101" s="272" cm="1">
        <f t="array" ref="Z101">_xlfn.IFS(AND(T101="y",$D101="Local"), 1, AND(T101="y",$D101&lt;&gt;"Local"),29.0043833288201%, T101="","")</f>
        <v>1</v>
      </c>
      <c r="AA101" s="272" t="str" cm="1">
        <f t="array" ref="AA101">_xlfn.IFS(AND(U101="y",$D101="Local"), 1, AND(U101="y",$D101&lt;&gt;"Local"),18.3998538156536%, U101="","")</f>
        <v/>
      </c>
      <c r="AB101" s="68">
        <f t="shared" si="16"/>
        <v>1</v>
      </c>
      <c r="AD101" s="306" t="str">
        <f t="shared" si="17"/>
        <v/>
      </c>
      <c r="AE101" s="242" t="str">
        <f t="shared" si="18"/>
        <v/>
      </c>
      <c r="AF101" s="242" t="str">
        <f t="shared" si="19"/>
        <v/>
      </c>
      <c r="AG101" s="242">
        <f t="shared" si="20"/>
        <v>67927.429999999993</v>
      </c>
      <c r="AH101" s="352" t="str">
        <f t="shared" si="21"/>
        <v/>
      </c>
    </row>
    <row r="102" spans="2:34">
      <c r="B102" s="166" t="s">
        <v>230</v>
      </c>
      <c r="C102" s="150"/>
      <c r="D102" s="150" t="s">
        <v>116</v>
      </c>
      <c r="E102" s="150" t="s">
        <v>143</v>
      </c>
      <c r="F102" s="150" t="s">
        <v>653</v>
      </c>
      <c r="G102" s="146"/>
      <c r="H102" s="155"/>
      <c r="I102" s="135">
        <f t="shared" si="22"/>
        <v>0</v>
      </c>
      <c r="J102" s="147"/>
      <c r="K102" s="155">
        <v>469.31771642305802</v>
      </c>
      <c r="L102" s="88">
        <f t="shared" si="23"/>
        <v>745.13236505388124</v>
      </c>
      <c r="M102" s="160">
        <v>349703.82</v>
      </c>
      <c r="N102" s="167">
        <v>2016</v>
      </c>
      <c r="O102" s="167">
        <f>IFERROR(('General Input Sheet'!$G$38/(VLOOKUP(N102,'General Input Sheet'!$E$38:$G$44,3,FALSE))),1)</f>
        <v>1</v>
      </c>
      <c r="P102" s="189">
        <f t="shared" si="15"/>
        <v>349703.82</v>
      </c>
      <c r="Q102" s="89" t="str">
        <f t="shared" si="24"/>
        <v/>
      </c>
      <c r="R102" s="89" t="str">
        <f t="shared" si="24"/>
        <v/>
      </c>
      <c r="S102" s="89" t="str">
        <f t="shared" si="24"/>
        <v/>
      </c>
      <c r="T102" s="89" t="str">
        <f t="shared" si="24"/>
        <v/>
      </c>
      <c r="U102" s="254" t="str">
        <f t="shared" si="24"/>
        <v>y</v>
      </c>
      <c r="V102" s="308"/>
      <c r="W102" s="309" t="str" cm="1">
        <f t="array" ref="W102">_xlfn.IFS(AND(Q102="y",$D102="Local"), 1, AND(Q102="y",$D102&lt;&gt;"Local"),1.49009696454663%, Q102="","")</f>
        <v/>
      </c>
      <c r="X102" s="272" t="str" cm="1">
        <f t="array" ref="X102">_xlfn.IFS(AND(R102="y",$D102="Local"), 1, AND(R102="y",$D102&lt;&gt;"Local"),20.7557554582461%, R102="","")</f>
        <v/>
      </c>
      <c r="Y102" s="272" t="str" cm="1">
        <f t="array" ref="Y102">_xlfn.IFS(AND(S102="y",$D102="Local"), 1, AND(S102="y",$D102&lt;&gt;"Local"),30.3499104327336%, S102="","")</f>
        <v/>
      </c>
      <c r="Z102" s="272" t="str" cm="1">
        <f t="array" ref="Z102">_xlfn.IFS(AND(T102="y",$D102="Local"), 1, AND(T102="y",$D102&lt;&gt;"Local"),29.0043833288201%, T102="","")</f>
        <v/>
      </c>
      <c r="AA102" s="272" cm="1">
        <f t="array" ref="AA102">_xlfn.IFS(AND(U102="y",$D102="Local"), 1, AND(U102="y",$D102&lt;&gt;"Local"),18.3998538156536%, U102="","")</f>
        <v>1</v>
      </c>
      <c r="AB102" s="68">
        <f t="shared" si="16"/>
        <v>1</v>
      </c>
      <c r="AD102" s="306" t="str">
        <f t="shared" si="17"/>
        <v/>
      </c>
      <c r="AE102" s="242" t="str">
        <f t="shared" si="18"/>
        <v/>
      </c>
      <c r="AF102" s="242" t="str">
        <f t="shared" si="19"/>
        <v/>
      </c>
      <c r="AG102" s="242" t="str">
        <f t="shared" si="20"/>
        <v/>
      </c>
      <c r="AH102" s="352">
        <f t="shared" si="21"/>
        <v>349703.82</v>
      </c>
    </row>
    <row r="103" spans="2:34">
      <c r="B103" s="166" t="s">
        <v>231</v>
      </c>
      <c r="C103" s="150"/>
      <c r="D103" s="150" t="s">
        <v>118</v>
      </c>
      <c r="E103" s="150" t="s">
        <v>142</v>
      </c>
      <c r="F103" s="150" t="s">
        <v>654</v>
      </c>
      <c r="G103" s="146"/>
      <c r="H103" s="155"/>
      <c r="I103" s="135">
        <f t="shared" si="22"/>
        <v>0</v>
      </c>
      <c r="J103" s="147"/>
      <c r="K103" s="155">
        <v>629.35272938624598</v>
      </c>
      <c r="L103" s="88">
        <f t="shared" si="23"/>
        <v>165.75601428110659</v>
      </c>
      <c r="M103" s="160">
        <v>104319</v>
      </c>
      <c r="N103" s="167">
        <v>2016</v>
      </c>
      <c r="O103" s="167">
        <f>IFERROR(('General Input Sheet'!$G$38/(VLOOKUP(N103,'General Input Sheet'!$E$38:$G$44,3,FALSE))),1)</f>
        <v>1</v>
      </c>
      <c r="P103" s="189">
        <f t="shared" si="15"/>
        <v>104319</v>
      </c>
      <c r="Q103" s="89" t="str">
        <f t="shared" si="24"/>
        <v>y</v>
      </c>
      <c r="R103" s="89" t="str">
        <f t="shared" si="24"/>
        <v>y</v>
      </c>
      <c r="S103" s="89" t="str">
        <f t="shared" si="24"/>
        <v>y</v>
      </c>
      <c r="T103" s="89" t="str">
        <f t="shared" si="24"/>
        <v>y</v>
      </c>
      <c r="U103" s="254" t="str">
        <f t="shared" si="24"/>
        <v>y</v>
      </c>
      <c r="V103" s="308"/>
      <c r="W103" s="309" cm="1">
        <f t="array" ref="W103">_xlfn.IFS(AND(Q103="y",$D103="Local"), 1, AND(Q103="y",$D103&lt;&gt;"Local"),1.49009696454663%, Q103="","")</f>
        <v>1.49009696454663E-2</v>
      </c>
      <c r="X103" s="272" cm="1">
        <f t="array" ref="X103">_xlfn.IFS(AND(R103="y",$D103="Local"), 1, AND(R103="y",$D103&lt;&gt;"Local"),20.7557554582461%, R103="","")</f>
        <v>0.207557554582461</v>
      </c>
      <c r="Y103" s="272" cm="1">
        <f t="array" ref="Y103">_xlfn.IFS(AND(S103="y",$D103="Local"), 1, AND(S103="y",$D103&lt;&gt;"Local"),30.3499104327336%, S103="","")</f>
        <v>0.30349910432733601</v>
      </c>
      <c r="Z103" s="272" cm="1">
        <f t="array" ref="Z103">_xlfn.IFS(AND(T103="y",$D103="Local"), 1, AND(T103="y",$D103&lt;&gt;"Local"),29.0043833288201%, T103="","")</f>
        <v>0.29004383328820099</v>
      </c>
      <c r="AA103" s="272" cm="1">
        <f t="array" ref="AA103">_xlfn.IFS(AND(U103="y",$D103="Local"), 1, AND(U103="y",$D103&lt;&gt;"Local"),18.3998538156536%, U103="","")</f>
        <v>0.183998538156536</v>
      </c>
      <c r="AB103" s="68">
        <f t="shared" si="16"/>
        <v>1.0000000000000004</v>
      </c>
      <c r="AD103" s="306">
        <f t="shared" si="17"/>
        <v>1554.4542524453982</v>
      </c>
      <c r="AE103" s="242">
        <f t="shared" si="18"/>
        <v>21652.19653648774</v>
      </c>
      <c r="AF103" s="242">
        <f t="shared" si="19"/>
        <v>31660.723064323352</v>
      </c>
      <c r="AG103" s="242">
        <f t="shared" si="20"/>
        <v>30257.082644791826</v>
      </c>
      <c r="AH103" s="352">
        <f t="shared" si="21"/>
        <v>19194.54350195167</v>
      </c>
    </row>
    <row r="104" spans="2:34">
      <c r="B104" s="166" t="s">
        <v>232</v>
      </c>
      <c r="C104" s="150"/>
      <c r="D104" s="150" t="s">
        <v>118</v>
      </c>
      <c r="E104" s="150" t="s">
        <v>142</v>
      </c>
      <c r="F104" s="150" t="s">
        <v>655</v>
      </c>
      <c r="G104" s="146"/>
      <c r="H104" s="155"/>
      <c r="I104" s="135">
        <f t="shared" si="22"/>
        <v>0</v>
      </c>
      <c r="J104" s="147"/>
      <c r="K104" s="155">
        <v>285.573506735325</v>
      </c>
      <c r="L104" s="88">
        <f t="shared" si="23"/>
        <v>267.8424930744406</v>
      </c>
      <c r="M104" s="160">
        <v>76488.72</v>
      </c>
      <c r="N104" s="167">
        <v>2016</v>
      </c>
      <c r="O104" s="167">
        <f>IFERROR(('General Input Sheet'!$G$38/(VLOOKUP(N104,'General Input Sheet'!$E$38:$G$44,3,FALSE))),1)</f>
        <v>1</v>
      </c>
      <c r="P104" s="189">
        <f t="shared" si="15"/>
        <v>76488.72</v>
      </c>
      <c r="Q104" s="89" t="str">
        <f t="shared" si="24"/>
        <v>y</v>
      </c>
      <c r="R104" s="89" t="str">
        <f t="shared" si="24"/>
        <v>y</v>
      </c>
      <c r="S104" s="89" t="str">
        <f t="shared" si="24"/>
        <v>y</v>
      </c>
      <c r="T104" s="89" t="str">
        <f t="shared" si="24"/>
        <v>y</v>
      </c>
      <c r="U104" s="254" t="str">
        <f t="shared" si="24"/>
        <v>y</v>
      </c>
      <c r="V104" s="308"/>
      <c r="W104" s="309" cm="1">
        <f t="array" ref="W104">_xlfn.IFS(AND(Q104="y",$D104="Local"), 1, AND(Q104="y",$D104&lt;&gt;"Local"),1.49009696454663%, Q104="","")</f>
        <v>1.49009696454663E-2</v>
      </c>
      <c r="X104" s="272" cm="1">
        <f t="array" ref="X104">_xlfn.IFS(AND(R104="y",$D104="Local"), 1, AND(R104="y",$D104&lt;&gt;"Local"),20.7557554582461%, R104="","")</f>
        <v>0.207557554582461</v>
      </c>
      <c r="Y104" s="272" cm="1">
        <f t="array" ref="Y104">_xlfn.IFS(AND(S104="y",$D104="Local"), 1, AND(S104="y",$D104&lt;&gt;"Local"),30.3499104327336%, S104="","")</f>
        <v>0.30349910432733601</v>
      </c>
      <c r="Z104" s="272" cm="1">
        <f t="array" ref="Z104">_xlfn.IFS(AND(T104="y",$D104="Local"), 1, AND(T104="y",$D104&lt;&gt;"Local"),29.0043833288201%, T104="","")</f>
        <v>0.29004383328820099</v>
      </c>
      <c r="AA104" s="272" cm="1">
        <f t="array" ref="AA104">_xlfn.IFS(AND(U104="y",$D104="Local"), 1, AND(U104="y",$D104&lt;&gt;"Local"),18.3998538156536%, U104="","")</f>
        <v>0.183998538156536</v>
      </c>
      <c r="AB104" s="68">
        <f t="shared" si="16"/>
        <v>1.0000000000000004</v>
      </c>
      <c r="AD104" s="306">
        <f t="shared" si="17"/>
        <v>1139.7560949405706</v>
      </c>
      <c r="AE104" s="242">
        <f t="shared" si="18"/>
        <v>15875.81167634257</v>
      </c>
      <c r="AF104" s="242">
        <f t="shared" si="19"/>
        <v>23214.258011144386</v>
      </c>
      <c r="AG104" s="242">
        <f t="shared" si="20"/>
        <v>22185.081552107877</v>
      </c>
      <c r="AH104" s="352">
        <f t="shared" si="21"/>
        <v>14073.812665464591</v>
      </c>
    </row>
    <row r="105" spans="2:34">
      <c r="B105" s="166" t="s">
        <v>233</v>
      </c>
      <c r="C105" s="150"/>
      <c r="D105" s="150" t="s">
        <v>118</v>
      </c>
      <c r="E105" s="150" t="s">
        <v>142</v>
      </c>
      <c r="F105" s="150" t="s">
        <v>656</v>
      </c>
      <c r="G105" s="146"/>
      <c r="H105" s="155"/>
      <c r="I105" s="135">
        <f t="shared" si="22"/>
        <v>0</v>
      </c>
      <c r="J105" s="147"/>
      <c r="K105" s="155">
        <v>431.15009222240502</v>
      </c>
      <c r="L105" s="88">
        <f t="shared" si="23"/>
        <v>314.5417395157238</v>
      </c>
      <c r="M105" s="160">
        <v>135614.70000000001</v>
      </c>
      <c r="N105" s="167">
        <v>2016</v>
      </c>
      <c r="O105" s="167">
        <f>IFERROR(('General Input Sheet'!$G$38/(VLOOKUP(N105,'General Input Sheet'!$E$38:$G$44,3,FALSE))),1)</f>
        <v>1</v>
      </c>
      <c r="P105" s="189">
        <f t="shared" si="15"/>
        <v>135614.70000000001</v>
      </c>
      <c r="Q105" s="89" t="str">
        <f t="shared" si="24"/>
        <v>y</v>
      </c>
      <c r="R105" s="89" t="str">
        <f t="shared" si="24"/>
        <v>y</v>
      </c>
      <c r="S105" s="89" t="str">
        <f t="shared" si="24"/>
        <v>y</v>
      </c>
      <c r="T105" s="89" t="str">
        <f t="shared" si="24"/>
        <v>y</v>
      </c>
      <c r="U105" s="254" t="str">
        <f t="shared" si="24"/>
        <v>y</v>
      </c>
      <c r="V105" s="308"/>
      <c r="W105" s="309" cm="1">
        <f t="array" ref="W105">_xlfn.IFS(AND(Q105="y",$D105="Local"), 1, AND(Q105="y",$D105&lt;&gt;"Local"),1.49009696454663%, Q105="","")</f>
        <v>1.49009696454663E-2</v>
      </c>
      <c r="X105" s="272" cm="1">
        <f t="array" ref="X105">_xlfn.IFS(AND(R105="y",$D105="Local"), 1, AND(R105="y",$D105&lt;&gt;"Local"),20.7557554582461%, R105="","")</f>
        <v>0.207557554582461</v>
      </c>
      <c r="Y105" s="272" cm="1">
        <f t="array" ref="Y105">_xlfn.IFS(AND(S105="y",$D105="Local"), 1, AND(S105="y",$D105&lt;&gt;"Local"),30.3499104327336%, S105="","")</f>
        <v>0.30349910432733601</v>
      </c>
      <c r="Z105" s="272" cm="1">
        <f t="array" ref="Z105">_xlfn.IFS(AND(T105="y",$D105="Local"), 1, AND(T105="y",$D105&lt;&gt;"Local"),29.0043833288201%, T105="","")</f>
        <v>0.29004383328820099</v>
      </c>
      <c r="AA105" s="272" cm="1">
        <f t="array" ref="AA105">_xlfn.IFS(AND(U105="y",$D105="Local"), 1, AND(U105="y",$D105&lt;&gt;"Local"),18.3998538156536%, U105="","")</f>
        <v>0.183998538156536</v>
      </c>
      <c r="AB105" s="68">
        <f t="shared" si="16"/>
        <v>1.0000000000000004</v>
      </c>
      <c r="AD105" s="306">
        <f t="shared" si="17"/>
        <v>2020.7905281790179</v>
      </c>
      <c r="AE105" s="242">
        <f t="shared" si="18"/>
        <v>28147.855497434066</v>
      </c>
      <c r="AF105" s="242">
        <f t="shared" si="19"/>
        <v>41158.939983620367</v>
      </c>
      <c r="AG105" s="242">
        <f t="shared" si="20"/>
        <v>39334.207438229379</v>
      </c>
      <c r="AH105" s="352">
        <f t="shared" si="21"/>
        <v>24952.906552537173</v>
      </c>
    </row>
    <row r="106" spans="2:34">
      <c r="B106" s="166" t="s">
        <v>234</v>
      </c>
      <c r="C106" s="150"/>
      <c r="D106" s="150" t="s">
        <v>118</v>
      </c>
      <c r="E106" s="150" t="s">
        <v>142</v>
      </c>
      <c r="F106" s="150" t="s">
        <v>657</v>
      </c>
      <c r="G106" s="146"/>
      <c r="H106" s="155"/>
      <c r="I106" s="135">
        <f t="shared" si="22"/>
        <v>0</v>
      </c>
      <c r="J106" s="147"/>
      <c r="K106" s="155">
        <v>272.79751238877702</v>
      </c>
      <c r="L106" s="88">
        <f t="shared" si="23"/>
        <v>288.93305994546409</v>
      </c>
      <c r="M106" s="160">
        <v>78820.22</v>
      </c>
      <c r="N106" s="167">
        <v>2016</v>
      </c>
      <c r="O106" s="167">
        <f>IFERROR(('General Input Sheet'!$G$38/(VLOOKUP(N106,'General Input Sheet'!$E$38:$G$44,3,FALSE))),1)</f>
        <v>1</v>
      </c>
      <c r="P106" s="189">
        <f t="shared" si="15"/>
        <v>78820.22</v>
      </c>
      <c r="Q106" s="89" t="str">
        <f t="shared" si="24"/>
        <v>y</v>
      </c>
      <c r="R106" s="89" t="str">
        <f t="shared" si="24"/>
        <v>y</v>
      </c>
      <c r="S106" s="89" t="str">
        <f t="shared" si="24"/>
        <v>y</v>
      </c>
      <c r="T106" s="89" t="str">
        <f t="shared" si="24"/>
        <v>y</v>
      </c>
      <c r="U106" s="254" t="str">
        <f t="shared" si="24"/>
        <v>y</v>
      </c>
      <c r="V106" s="308"/>
      <c r="W106" s="309" cm="1">
        <f t="array" ref="W106">_xlfn.IFS(AND(Q106="y",$D106="Local"), 1, AND(Q106="y",$D106&lt;&gt;"Local"),1.49009696454663%, Q106="","")</f>
        <v>1.49009696454663E-2</v>
      </c>
      <c r="X106" s="272" cm="1">
        <f t="array" ref="X106">_xlfn.IFS(AND(R106="y",$D106="Local"), 1, AND(R106="y",$D106&lt;&gt;"Local"),20.7557554582461%, R106="","")</f>
        <v>0.207557554582461</v>
      </c>
      <c r="Y106" s="272" cm="1">
        <f t="array" ref="Y106">_xlfn.IFS(AND(S106="y",$D106="Local"), 1, AND(S106="y",$D106&lt;&gt;"Local"),30.3499104327336%, S106="","")</f>
        <v>0.30349910432733601</v>
      </c>
      <c r="Z106" s="272" cm="1">
        <f t="array" ref="Z106">_xlfn.IFS(AND(T106="y",$D106="Local"), 1, AND(T106="y",$D106&lt;&gt;"Local"),29.0043833288201%, T106="","")</f>
        <v>0.29004383328820099</v>
      </c>
      <c r="AA106" s="272" cm="1">
        <f t="array" ref="AA106">_xlfn.IFS(AND(U106="y",$D106="Local"), 1, AND(U106="y",$D106&lt;&gt;"Local"),18.3998538156536%, U106="","")</f>
        <v>0.183998538156536</v>
      </c>
      <c r="AB106" s="68">
        <f t="shared" si="16"/>
        <v>1.0000000000000004</v>
      </c>
      <c r="AD106" s="306">
        <f t="shared" si="17"/>
        <v>1174.4977056689752</v>
      </c>
      <c r="AE106" s="242">
        <f t="shared" si="18"/>
        <v>16359.732114851578</v>
      </c>
      <c r="AF106" s="242">
        <f t="shared" si="19"/>
        <v>23921.866172883569</v>
      </c>
      <c r="AG106" s="242">
        <f t="shared" si="20"/>
        <v>22861.318749419319</v>
      </c>
      <c r="AH106" s="352">
        <f t="shared" si="21"/>
        <v>14502.805257176555</v>
      </c>
    </row>
    <row r="107" spans="2:34">
      <c r="B107" s="166" t="s">
        <v>235</v>
      </c>
      <c r="C107" s="150"/>
      <c r="D107" s="150" t="s">
        <v>118</v>
      </c>
      <c r="E107" s="150" t="s">
        <v>142</v>
      </c>
      <c r="F107" s="150" t="s">
        <v>658</v>
      </c>
      <c r="G107" s="146"/>
      <c r="H107" s="155"/>
      <c r="I107" s="135">
        <f t="shared" si="22"/>
        <v>0</v>
      </c>
      <c r="J107" s="147"/>
      <c r="K107" s="155">
        <v>433.51182485862103</v>
      </c>
      <c r="L107" s="88">
        <f t="shared" si="23"/>
        <v>312.8281449859582</v>
      </c>
      <c r="M107" s="160">
        <v>135614.70000000001</v>
      </c>
      <c r="N107" s="167">
        <v>2016</v>
      </c>
      <c r="O107" s="167">
        <f>IFERROR(('General Input Sheet'!$G$38/(VLOOKUP(N107,'General Input Sheet'!$E$38:$G$44,3,FALSE))),1)</f>
        <v>1</v>
      </c>
      <c r="P107" s="189">
        <f t="shared" si="15"/>
        <v>135614.70000000001</v>
      </c>
      <c r="Q107" s="89" t="str">
        <f t="shared" si="24"/>
        <v>y</v>
      </c>
      <c r="R107" s="89" t="str">
        <f t="shared" si="24"/>
        <v>y</v>
      </c>
      <c r="S107" s="89" t="str">
        <f t="shared" si="24"/>
        <v>y</v>
      </c>
      <c r="T107" s="89" t="str">
        <f t="shared" si="24"/>
        <v>y</v>
      </c>
      <c r="U107" s="254" t="str">
        <f t="shared" si="24"/>
        <v>y</v>
      </c>
      <c r="V107" s="308"/>
      <c r="W107" s="309" cm="1">
        <f t="array" ref="W107">_xlfn.IFS(AND(Q107="y",$D107="Local"), 1, AND(Q107="y",$D107&lt;&gt;"Local"),1.49009696454663%, Q107="","")</f>
        <v>1.49009696454663E-2</v>
      </c>
      <c r="X107" s="272" cm="1">
        <f t="array" ref="X107">_xlfn.IFS(AND(R107="y",$D107="Local"), 1, AND(R107="y",$D107&lt;&gt;"Local"),20.7557554582461%, R107="","")</f>
        <v>0.207557554582461</v>
      </c>
      <c r="Y107" s="272" cm="1">
        <f t="array" ref="Y107">_xlfn.IFS(AND(S107="y",$D107="Local"), 1, AND(S107="y",$D107&lt;&gt;"Local"),30.3499104327336%, S107="","")</f>
        <v>0.30349910432733601</v>
      </c>
      <c r="Z107" s="272" cm="1">
        <f t="array" ref="Z107">_xlfn.IFS(AND(T107="y",$D107="Local"), 1, AND(T107="y",$D107&lt;&gt;"Local"),29.0043833288201%, T107="","")</f>
        <v>0.29004383328820099</v>
      </c>
      <c r="AA107" s="272" cm="1">
        <f t="array" ref="AA107">_xlfn.IFS(AND(U107="y",$D107="Local"), 1, AND(U107="y",$D107&lt;&gt;"Local"),18.3998538156536%, U107="","")</f>
        <v>0.183998538156536</v>
      </c>
      <c r="AB107" s="68">
        <f t="shared" si="16"/>
        <v>1.0000000000000004</v>
      </c>
      <c r="AD107" s="306">
        <f t="shared" si="17"/>
        <v>2020.7905281790179</v>
      </c>
      <c r="AE107" s="242">
        <f t="shared" si="18"/>
        <v>28147.855497434066</v>
      </c>
      <c r="AF107" s="242">
        <f t="shared" si="19"/>
        <v>41158.939983620367</v>
      </c>
      <c r="AG107" s="242">
        <f t="shared" si="20"/>
        <v>39334.207438229379</v>
      </c>
      <c r="AH107" s="352">
        <f t="shared" si="21"/>
        <v>24952.906552537173</v>
      </c>
    </row>
    <row r="108" spans="2:34">
      <c r="B108" s="166" t="s">
        <v>236</v>
      </c>
      <c r="C108" s="150"/>
      <c r="D108" s="150" t="s">
        <v>118</v>
      </c>
      <c r="E108" s="150" t="s">
        <v>142</v>
      </c>
      <c r="F108" s="150" t="s">
        <v>659</v>
      </c>
      <c r="G108" s="146"/>
      <c r="H108" s="155"/>
      <c r="I108" s="135">
        <f t="shared" si="22"/>
        <v>0</v>
      </c>
      <c r="J108" s="147"/>
      <c r="K108" s="155">
        <v>271.28590968277302</v>
      </c>
      <c r="L108" s="88">
        <f t="shared" si="23"/>
        <v>289.1326722118398</v>
      </c>
      <c r="M108" s="160">
        <v>78437.62</v>
      </c>
      <c r="N108" s="167">
        <v>2016</v>
      </c>
      <c r="O108" s="167">
        <f>IFERROR(('General Input Sheet'!$G$38/(VLOOKUP(N108,'General Input Sheet'!$E$38:$G$44,3,FALSE))),1)</f>
        <v>1</v>
      </c>
      <c r="P108" s="189">
        <f t="shared" si="15"/>
        <v>78437.62</v>
      </c>
      <c r="Q108" s="89" t="str">
        <f t="shared" si="24"/>
        <v>y</v>
      </c>
      <c r="R108" s="89" t="str">
        <f t="shared" si="24"/>
        <v>y</v>
      </c>
      <c r="S108" s="89" t="str">
        <f t="shared" si="24"/>
        <v>y</v>
      </c>
      <c r="T108" s="89" t="str">
        <f t="shared" si="24"/>
        <v>y</v>
      </c>
      <c r="U108" s="254" t="str">
        <f t="shared" si="24"/>
        <v>y</v>
      </c>
      <c r="V108" s="308"/>
      <c r="W108" s="309" cm="1">
        <f t="array" ref="W108">_xlfn.IFS(AND(Q108="y",$D108="Local"), 1, AND(Q108="y",$D108&lt;&gt;"Local"),1.49009696454663%, Q108="","")</f>
        <v>1.49009696454663E-2</v>
      </c>
      <c r="X108" s="272" cm="1">
        <f t="array" ref="X108">_xlfn.IFS(AND(R108="y",$D108="Local"), 1, AND(R108="y",$D108&lt;&gt;"Local"),20.7557554582461%, R108="","")</f>
        <v>0.207557554582461</v>
      </c>
      <c r="Y108" s="272" cm="1">
        <f t="array" ref="Y108">_xlfn.IFS(AND(S108="y",$D108="Local"), 1, AND(S108="y",$D108&lt;&gt;"Local"),30.3499104327336%, S108="","")</f>
        <v>0.30349910432733601</v>
      </c>
      <c r="Z108" s="272" cm="1">
        <f t="array" ref="Z108">_xlfn.IFS(AND(T108="y",$D108="Local"), 1, AND(T108="y",$D108&lt;&gt;"Local"),29.0043833288201%, T108="","")</f>
        <v>0.29004383328820099</v>
      </c>
      <c r="AA108" s="272" cm="1">
        <f t="array" ref="AA108">_xlfn.IFS(AND(U108="y",$D108="Local"), 1, AND(U108="y",$D108&lt;&gt;"Local"),18.3998538156536%, U108="","")</f>
        <v>0.183998538156536</v>
      </c>
      <c r="AB108" s="68">
        <f t="shared" si="16"/>
        <v>1.0000000000000004</v>
      </c>
      <c r="AD108" s="306">
        <f t="shared" si="17"/>
        <v>1168.7965946826198</v>
      </c>
      <c r="AE108" s="242">
        <f t="shared" si="18"/>
        <v>16280.320594468327</v>
      </c>
      <c r="AF108" s="242">
        <f t="shared" si="19"/>
        <v>23805.747415567927</v>
      </c>
      <c r="AG108" s="242">
        <f t="shared" si="20"/>
        <v>22750.347978803249</v>
      </c>
      <c r="AH108" s="352">
        <f t="shared" si="21"/>
        <v>14432.407416477863</v>
      </c>
    </row>
    <row r="109" spans="2:34">
      <c r="B109" s="166" t="s">
        <v>237</v>
      </c>
      <c r="C109" s="150"/>
      <c r="D109" s="150" t="s">
        <v>118</v>
      </c>
      <c r="E109" s="150" t="s">
        <v>142</v>
      </c>
      <c r="F109" s="150" t="s">
        <v>660</v>
      </c>
      <c r="G109" s="146"/>
      <c r="H109" s="155"/>
      <c r="I109" s="135">
        <f t="shared" si="22"/>
        <v>0</v>
      </c>
      <c r="J109" s="147"/>
      <c r="K109" s="155">
        <v>432.39401401200701</v>
      </c>
      <c r="L109" s="88">
        <f t="shared" si="23"/>
        <v>313.63685806305858</v>
      </c>
      <c r="M109" s="160">
        <v>135614.70000000001</v>
      </c>
      <c r="N109" s="167">
        <v>2016</v>
      </c>
      <c r="O109" s="167">
        <f>IFERROR(('General Input Sheet'!$G$38/(VLOOKUP(N109,'General Input Sheet'!$E$38:$G$44,3,FALSE))),1)</f>
        <v>1</v>
      </c>
      <c r="P109" s="189">
        <f t="shared" si="15"/>
        <v>135614.70000000001</v>
      </c>
      <c r="Q109" s="89" t="str">
        <f t="shared" si="24"/>
        <v>y</v>
      </c>
      <c r="R109" s="89" t="str">
        <f t="shared" si="24"/>
        <v>y</v>
      </c>
      <c r="S109" s="89" t="str">
        <f t="shared" si="24"/>
        <v>y</v>
      </c>
      <c r="T109" s="89" t="str">
        <f t="shared" si="24"/>
        <v>y</v>
      </c>
      <c r="U109" s="254" t="str">
        <f t="shared" si="24"/>
        <v>y</v>
      </c>
      <c r="V109" s="308"/>
      <c r="W109" s="309" cm="1">
        <f t="array" ref="W109">_xlfn.IFS(AND(Q109="y",$D109="Local"), 1, AND(Q109="y",$D109&lt;&gt;"Local"),1.49009696454663%, Q109="","")</f>
        <v>1.49009696454663E-2</v>
      </c>
      <c r="X109" s="272" cm="1">
        <f t="array" ref="X109">_xlfn.IFS(AND(R109="y",$D109="Local"), 1, AND(R109="y",$D109&lt;&gt;"Local"),20.7557554582461%, R109="","")</f>
        <v>0.207557554582461</v>
      </c>
      <c r="Y109" s="272" cm="1">
        <f t="array" ref="Y109">_xlfn.IFS(AND(S109="y",$D109="Local"), 1, AND(S109="y",$D109&lt;&gt;"Local"),30.3499104327336%, S109="","")</f>
        <v>0.30349910432733601</v>
      </c>
      <c r="Z109" s="272" cm="1">
        <f t="array" ref="Z109">_xlfn.IFS(AND(T109="y",$D109="Local"), 1, AND(T109="y",$D109&lt;&gt;"Local"),29.0043833288201%, T109="","")</f>
        <v>0.29004383328820099</v>
      </c>
      <c r="AA109" s="272" cm="1">
        <f t="array" ref="AA109">_xlfn.IFS(AND(U109="y",$D109="Local"), 1, AND(U109="y",$D109&lt;&gt;"Local"),18.3998538156536%, U109="","")</f>
        <v>0.183998538156536</v>
      </c>
      <c r="AB109" s="68">
        <f t="shared" si="16"/>
        <v>1.0000000000000004</v>
      </c>
      <c r="AD109" s="306">
        <f t="shared" si="17"/>
        <v>2020.7905281790179</v>
      </c>
      <c r="AE109" s="242">
        <f t="shared" si="18"/>
        <v>28147.855497434066</v>
      </c>
      <c r="AF109" s="242">
        <f t="shared" si="19"/>
        <v>41158.939983620367</v>
      </c>
      <c r="AG109" s="242">
        <f t="shared" si="20"/>
        <v>39334.207438229379</v>
      </c>
      <c r="AH109" s="352">
        <f t="shared" si="21"/>
        <v>24952.906552537173</v>
      </c>
    </row>
    <row r="110" spans="2:34">
      <c r="B110" s="166" t="s">
        <v>238</v>
      </c>
      <c r="C110" s="150"/>
      <c r="D110" s="150" t="s">
        <v>118</v>
      </c>
      <c r="E110" s="150" t="s">
        <v>142</v>
      </c>
      <c r="F110" s="150" t="s">
        <v>661</v>
      </c>
      <c r="G110" s="146"/>
      <c r="H110" s="155"/>
      <c r="I110" s="135">
        <f t="shared" si="22"/>
        <v>0</v>
      </c>
      <c r="J110" s="147"/>
      <c r="K110" s="155">
        <v>267.69390570194599</v>
      </c>
      <c r="L110" s="88">
        <f t="shared" si="23"/>
        <v>292.68925564273849</v>
      </c>
      <c r="M110" s="160">
        <v>78351.13</v>
      </c>
      <c r="N110" s="167">
        <v>2016</v>
      </c>
      <c r="O110" s="167">
        <f>IFERROR(('General Input Sheet'!$G$38/(VLOOKUP(N110,'General Input Sheet'!$E$38:$G$44,3,FALSE))),1)</f>
        <v>1</v>
      </c>
      <c r="P110" s="189">
        <f t="shared" si="15"/>
        <v>78351.13</v>
      </c>
      <c r="Q110" s="89" t="str">
        <f t="shared" si="24"/>
        <v>y</v>
      </c>
      <c r="R110" s="89" t="str">
        <f t="shared" si="24"/>
        <v>y</v>
      </c>
      <c r="S110" s="89" t="str">
        <f t="shared" si="24"/>
        <v>y</v>
      </c>
      <c r="T110" s="89" t="str">
        <f t="shared" si="24"/>
        <v>y</v>
      </c>
      <c r="U110" s="254" t="str">
        <f t="shared" si="24"/>
        <v>y</v>
      </c>
      <c r="V110" s="308"/>
      <c r="W110" s="309" cm="1">
        <f t="array" ref="W110">_xlfn.IFS(AND(Q110="y",$D110="Local"), 1, AND(Q110="y",$D110&lt;&gt;"Local"),1.49009696454663%, Q110="","")</f>
        <v>1.49009696454663E-2</v>
      </c>
      <c r="X110" s="272" cm="1">
        <f t="array" ref="X110">_xlfn.IFS(AND(R110="y",$D110="Local"), 1, AND(R110="y",$D110&lt;&gt;"Local"),20.7557554582461%, R110="","")</f>
        <v>0.207557554582461</v>
      </c>
      <c r="Y110" s="272" cm="1">
        <f t="array" ref="Y110">_xlfn.IFS(AND(S110="y",$D110="Local"), 1, AND(S110="y",$D110&lt;&gt;"Local"),30.3499104327336%, S110="","")</f>
        <v>0.30349910432733601</v>
      </c>
      <c r="Z110" s="272" cm="1">
        <f t="array" ref="Z110">_xlfn.IFS(AND(T110="y",$D110="Local"), 1, AND(T110="y",$D110&lt;&gt;"Local"),29.0043833288201%, T110="","")</f>
        <v>0.29004383328820099</v>
      </c>
      <c r="AA110" s="272" cm="1">
        <f t="array" ref="AA110">_xlfn.IFS(AND(U110="y",$D110="Local"), 1, AND(U110="y",$D110&lt;&gt;"Local"),18.3998538156536%, U110="","")</f>
        <v>0.183998538156536</v>
      </c>
      <c r="AB110" s="68">
        <f t="shared" si="16"/>
        <v>1.0000000000000004</v>
      </c>
      <c r="AD110" s="306">
        <f t="shared" si="17"/>
        <v>1167.5078098179836</v>
      </c>
      <c r="AE110" s="242">
        <f t="shared" si="18"/>
        <v>16262.368941572491</v>
      </c>
      <c r="AF110" s="242">
        <f t="shared" si="19"/>
        <v>23779.49777803466</v>
      </c>
      <c r="AG110" s="242">
        <f t="shared" si="20"/>
        <v>22725.262087662155</v>
      </c>
      <c r="AH110" s="352">
        <f t="shared" si="21"/>
        <v>14416.493382912706</v>
      </c>
    </row>
    <row r="111" spans="2:34">
      <c r="B111" s="166" t="s">
        <v>239</v>
      </c>
      <c r="C111" s="150"/>
      <c r="D111" s="150" t="s">
        <v>118</v>
      </c>
      <c r="E111" s="150" t="s">
        <v>142</v>
      </c>
      <c r="F111" s="150" t="s">
        <v>662</v>
      </c>
      <c r="G111" s="146"/>
      <c r="H111" s="155"/>
      <c r="I111" s="135">
        <f t="shared" si="22"/>
        <v>0</v>
      </c>
      <c r="J111" s="147"/>
      <c r="K111" s="155">
        <v>430.16790440494901</v>
      </c>
      <c r="L111" s="88">
        <f t="shared" si="23"/>
        <v>315.25992202415875</v>
      </c>
      <c r="M111" s="160">
        <v>135614.70000000001</v>
      </c>
      <c r="N111" s="167">
        <v>2016</v>
      </c>
      <c r="O111" s="167">
        <f>IFERROR(('General Input Sheet'!$G$38/(VLOOKUP(N111,'General Input Sheet'!$E$38:$G$44,3,FALSE))),1)</f>
        <v>1</v>
      </c>
      <c r="P111" s="189">
        <f t="shared" si="15"/>
        <v>135614.70000000001</v>
      </c>
      <c r="Q111" s="89" t="str">
        <f t="shared" si="24"/>
        <v>y</v>
      </c>
      <c r="R111" s="89" t="str">
        <f t="shared" si="24"/>
        <v>y</v>
      </c>
      <c r="S111" s="89" t="str">
        <f t="shared" si="24"/>
        <v>y</v>
      </c>
      <c r="T111" s="89" t="str">
        <f t="shared" si="24"/>
        <v>y</v>
      </c>
      <c r="U111" s="254" t="str">
        <f t="shared" si="24"/>
        <v>y</v>
      </c>
      <c r="V111" s="308"/>
      <c r="W111" s="309" cm="1">
        <f t="array" ref="W111">_xlfn.IFS(AND(Q111="y",$D111="Local"), 1, AND(Q111="y",$D111&lt;&gt;"Local"),1.49009696454663%, Q111="","")</f>
        <v>1.49009696454663E-2</v>
      </c>
      <c r="X111" s="272" cm="1">
        <f t="array" ref="X111">_xlfn.IFS(AND(R111="y",$D111="Local"), 1, AND(R111="y",$D111&lt;&gt;"Local"),20.7557554582461%, R111="","")</f>
        <v>0.207557554582461</v>
      </c>
      <c r="Y111" s="272" cm="1">
        <f t="array" ref="Y111">_xlfn.IFS(AND(S111="y",$D111="Local"), 1, AND(S111="y",$D111&lt;&gt;"Local"),30.3499104327336%, S111="","")</f>
        <v>0.30349910432733601</v>
      </c>
      <c r="Z111" s="272" cm="1">
        <f t="array" ref="Z111">_xlfn.IFS(AND(T111="y",$D111="Local"), 1, AND(T111="y",$D111&lt;&gt;"Local"),29.0043833288201%, T111="","")</f>
        <v>0.29004383328820099</v>
      </c>
      <c r="AA111" s="272" cm="1">
        <f t="array" ref="AA111">_xlfn.IFS(AND(U111="y",$D111="Local"), 1, AND(U111="y",$D111&lt;&gt;"Local"),18.3998538156536%, U111="","")</f>
        <v>0.183998538156536</v>
      </c>
      <c r="AB111" s="68">
        <f t="shared" si="16"/>
        <v>1.0000000000000004</v>
      </c>
      <c r="AD111" s="306">
        <f t="shared" si="17"/>
        <v>2020.7905281790179</v>
      </c>
      <c r="AE111" s="242">
        <f t="shared" si="18"/>
        <v>28147.855497434066</v>
      </c>
      <c r="AF111" s="242">
        <f t="shared" si="19"/>
        <v>41158.939983620367</v>
      </c>
      <c r="AG111" s="242">
        <f t="shared" si="20"/>
        <v>39334.207438229379</v>
      </c>
      <c r="AH111" s="352">
        <f t="shared" si="21"/>
        <v>24952.906552537173</v>
      </c>
    </row>
    <row r="112" spans="2:34">
      <c r="B112" s="166" t="s">
        <v>240</v>
      </c>
      <c r="C112" s="150"/>
      <c r="D112" s="150" t="s">
        <v>118</v>
      </c>
      <c r="E112" s="150" t="s">
        <v>142</v>
      </c>
      <c r="F112" s="150" t="s">
        <v>663</v>
      </c>
      <c r="G112" s="146"/>
      <c r="H112" s="155"/>
      <c r="I112" s="135">
        <f t="shared" si="22"/>
        <v>0</v>
      </c>
      <c r="J112" s="147"/>
      <c r="K112" s="155">
        <v>267.49016557916099</v>
      </c>
      <c r="L112" s="88">
        <f t="shared" si="23"/>
        <v>233.50630429631781</v>
      </c>
      <c r="M112" s="160">
        <v>62460.639999999999</v>
      </c>
      <c r="N112" s="167">
        <v>2016</v>
      </c>
      <c r="O112" s="167">
        <f>IFERROR(('General Input Sheet'!$G$38/(VLOOKUP(N112,'General Input Sheet'!$E$38:$G$44,3,FALSE))),1)</f>
        <v>1</v>
      </c>
      <c r="P112" s="189">
        <f t="shared" si="15"/>
        <v>62460.639999999999</v>
      </c>
      <c r="Q112" s="89" t="str">
        <f t="shared" si="24"/>
        <v>y</v>
      </c>
      <c r="R112" s="89" t="str">
        <f t="shared" si="24"/>
        <v>y</v>
      </c>
      <c r="S112" s="89" t="str">
        <f t="shared" si="24"/>
        <v>y</v>
      </c>
      <c r="T112" s="89" t="str">
        <f t="shared" si="24"/>
        <v>y</v>
      </c>
      <c r="U112" s="254" t="str">
        <f t="shared" si="24"/>
        <v>y</v>
      </c>
      <c r="V112" s="308"/>
      <c r="W112" s="309" cm="1">
        <f t="array" ref="W112">_xlfn.IFS(AND(Q112="y",$D112="Local"), 1, AND(Q112="y",$D112&lt;&gt;"Local"),1.49009696454663%, Q112="","")</f>
        <v>1.49009696454663E-2</v>
      </c>
      <c r="X112" s="272" cm="1">
        <f t="array" ref="X112">_xlfn.IFS(AND(R112="y",$D112="Local"), 1, AND(R112="y",$D112&lt;&gt;"Local"),20.7557554582461%, R112="","")</f>
        <v>0.207557554582461</v>
      </c>
      <c r="Y112" s="272" cm="1">
        <f t="array" ref="Y112">_xlfn.IFS(AND(S112="y",$D112="Local"), 1, AND(S112="y",$D112&lt;&gt;"Local"),30.3499104327336%, S112="","")</f>
        <v>0.30349910432733601</v>
      </c>
      <c r="Z112" s="272" cm="1">
        <f t="array" ref="Z112">_xlfn.IFS(AND(T112="y",$D112="Local"), 1, AND(T112="y",$D112&lt;&gt;"Local"),29.0043833288201%, T112="","")</f>
        <v>0.29004383328820099</v>
      </c>
      <c r="AA112" s="272" cm="1">
        <f t="array" ref="AA112">_xlfn.IFS(AND(U112="y",$D112="Local"), 1, AND(U112="y",$D112&lt;&gt;"Local"),18.3998538156536%, U112="","")</f>
        <v>0.183998538156536</v>
      </c>
      <c r="AB112" s="68">
        <f t="shared" si="16"/>
        <v>1.0000000000000004</v>
      </c>
      <c r="AD112" s="306">
        <f t="shared" si="17"/>
        <v>930.72410067639782</v>
      </c>
      <c r="AE112" s="242">
        <f t="shared" si="18"/>
        <v>12964.177696055442</v>
      </c>
      <c r="AF112" s="242">
        <f t="shared" si="19"/>
        <v>18956.748295712168</v>
      </c>
      <c r="AG112" s="242">
        <f t="shared" si="20"/>
        <v>18116.323455234331</v>
      </c>
      <c r="AH112" s="352">
        <f t="shared" si="21"/>
        <v>11492.666452321653</v>
      </c>
    </row>
    <row r="113" spans="2:34">
      <c r="B113" s="166" t="s">
        <v>241</v>
      </c>
      <c r="C113" s="150"/>
      <c r="D113" s="150" t="s">
        <v>118</v>
      </c>
      <c r="E113" s="150" t="s">
        <v>142</v>
      </c>
      <c r="F113" s="150" t="s">
        <v>664</v>
      </c>
      <c r="G113" s="146"/>
      <c r="H113" s="155"/>
      <c r="I113" s="135">
        <f t="shared" si="22"/>
        <v>0</v>
      </c>
      <c r="J113" s="147"/>
      <c r="K113" s="155">
        <v>428.72185560550901</v>
      </c>
      <c r="L113" s="88">
        <f t="shared" si="23"/>
        <v>267.65815294844384</v>
      </c>
      <c r="M113" s="160">
        <v>114750.9</v>
      </c>
      <c r="N113" s="167">
        <v>2016</v>
      </c>
      <c r="O113" s="167">
        <f>IFERROR(('General Input Sheet'!$G$38/(VLOOKUP(N113,'General Input Sheet'!$E$38:$G$44,3,FALSE))),1)</f>
        <v>1</v>
      </c>
      <c r="P113" s="189">
        <f t="shared" si="15"/>
        <v>114750.9</v>
      </c>
      <c r="Q113" s="89" t="str">
        <f t="shared" si="24"/>
        <v>y</v>
      </c>
      <c r="R113" s="89" t="str">
        <f t="shared" si="24"/>
        <v>y</v>
      </c>
      <c r="S113" s="89" t="str">
        <f t="shared" si="24"/>
        <v>y</v>
      </c>
      <c r="T113" s="89" t="str">
        <f t="shared" si="24"/>
        <v>y</v>
      </c>
      <c r="U113" s="254" t="str">
        <f t="shared" si="24"/>
        <v>y</v>
      </c>
      <c r="V113" s="308"/>
      <c r="W113" s="309" cm="1">
        <f t="array" ref="W113">_xlfn.IFS(AND(Q113="y",$D113="Local"), 1, AND(Q113="y",$D113&lt;&gt;"Local"),1.49009696454663%, Q113="","")</f>
        <v>1.49009696454663E-2</v>
      </c>
      <c r="X113" s="272" cm="1">
        <f t="array" ref="X113">_xlfn.IFS(AND(R113="y",$D113="Local"), 1, AND(R113="y",$D113&lt;&gt;"Local"),20.7557554582461%, R113="","")</f>
        <v>0.207557554582461</v>
      </c>
      <c r="Y113" s="272" cm="1">
        <f t="array" ref="Y113">_xlfn.IFS(AND(S113="y",$D113="Local"), 1, AND(S113="y",$D113&lt;&gt;"Local"),30.3499104327336%, S113="","")</f>
        <v>0.30349910432733601</v>
      </c>
      <c r="Z113" s="272" cm="1">
        <f t="array" ref="Z113">_xlfn.IFS(AND(T113="y",$D113="Local"), 1, AND(T113="y",$D113&lt;&gt;"Local"),29.0043833288201%, T113="","")</f>
        <v>0.29004383328820099</v>
      </c>
      <c r="AA113" s="272" cm="1">
        <f t="array" ref="AA113">_xlfn.IFS(AND(U113="y",$D113="Local"), 1, AND(U113="y",$D113&lt;&gt;"Local"),18.3998538156536%, U113="","")</f>
        <v>0.183998538156536</v>
      </c>
      <c r="AB113" s="68">
        <f t="shared" si="16"/>
        <v>1.0000000000000004</v>
      </c>
      <c r="AD113" s="306">
        <f t="shared" si="17"/>
        <v>1709.899677689938</v>
      </c>
      <c r="AE113" s="242">
        <f t="shared" si="18"/>
        <v>23817.416190136515</v>
      </c>
      <c r="AF113" s="242">
        <f t="shared" si="19"/>
        <v>34826.795370755688</v>
      </c>
      <c r="AG113" s="242">
        <f t="shared" si="20"/>
        <v>33282.790909271011</v>
      </c>
      <c r="AH113" s="352">
        <f t="shared" si="21"/>
        <v>21113.997852146837</v>
      </c>
    </row>
    <row r="114" spans="2:34">
      <c r="B114" s="166" t="s">
        <v>242</v>
      </c>
      <c r="C114" s="150"/>
      <c r="D114" s="150" t="s">
        <v>116</v>
      </c>
      <c r="E114" s="150" t="s">
        <v>142</v>
      </c>
      <c r="F114" s="150" t="s">
        <v>665</v>
      </c>
      <c r="G114" s="146"/>
      <c r="H114" s="155"/>
      <c r="I114" s="135">
        <f t="shared" si="22"/>
        <v>0</v>
      </c>
      <c r="J114" s="147"/>
      <c r="K114" s="155">
        <v>365.48781413202602</v>
      </c>
      <c r="L114" s="88">
        <f t="shared" si="23"/>
        <v>404.89013389251869</v>
      </c>
      <c r="M114" s="160">
        <v>147982.41</v>
      </c>
      <c r="N114" s="167">
        <v>2016</v>
      </c>
      <c r="O114" s="167">
        <f>IFERROR(('General Input Sheet'!$G$38/(VLOOKUP(N114,'General Input Sheet'!$E$38:$G$44,3,FALSE))),1)</f>
        <v>1</v>
      </c>
      <c r="P114" s="189">
        <f t="shared" si="15"/>
        <v>147982.41</v>
      </c>
      <c r="Q114" s="89" t="str">
        <f t="shared" si="24"/>
        <v/>
      </c>
      <c r="R114" s="89" t="str">
        <f t="shared" si="24"/>
        <v/>
      </c>
      <c r="S114" s="89" t="str">
        <f t="shared" si="24"/>
        <v/>
      </c>
      <c r="T114" s="89" t="str">
        <f t="shared" si="24"/>
        <v>y</v>
      </c>
      <c r="U114" s="254" t="str">
        <f t="shared" si="24"/>
        <v/>
      </c>
      <c r="V114" s="308"/>
      <c r="W114" s="309" t="str" cm="1">
        <f t="array" ref="W114">_xlfn.IFS(AND(Q114="y",$D114="Local"), 1, AND(Q114="y",$D114&lt;&gt;"Local"),1.49009696454663%, Q114="","")</f>
        <v/>
      </c>
      <c r="X114" s="272" t="str" cm="1">
        <f t="array" ref="X114">_xlfn.IFS(AND(R114="y",$D114="Local"), 1, AND(R114="y",$D114&lt;&gt;"Local"),20.7557554582461%, R114="","")</f>
        <v/>
      </c>
      <c r="Y114" s="272" t="str" cm="1">
        <f t="array" ref="Y114">_xlfn.IFS(AND(S114="y",$D114="Local"), 1, AND(S114="y",$D114&lt;&gt;"Local"),30.3499104327336%, S114="","")</f>
        <v/>
      </c>
      <c r="Z114" s="272" cm="1">
        <f t="array" ref="Z114">_xlfn.IFS(AND(T114="y",$D114="Local"), 1, AND(T114="y",$D114&lt;&gt;"Local"),29.0043833288201%, T114="","")</f>
        <v>1</v>
      </c>
      <c r="AA114" s="272" t="str" cm="1">
        <f t="array" ref="AA114">_xlfn.IFS(AND(U114="y",$D114="Local"), 1, AND(U114="y",$D114&lt;&gt;"Local"),18.3998538156536%, U114="","")</f>
        <v/>
      </c>
      <c r="AB114" s="68">
        <f t="shared" si="16"/>
        <v>1</v>
      </c>
      <c r="AD114" s="306" t="str">
        <f t="shared" si="17"/>
        <v/>
      </c>
      <c r="AE114" s="242" t="str">
        <f t="shared" si="18"/>
        <v/>
      </c>
      <c r="AF114" s="242" t="str">
        <f t="shared" si="19"/>
        <v/>
      </c>
      <c r="AG114" s="242">
        <f t="shared" si="20"/>
        <v>147982.41</v>
      </c>
      <c r="AH114" s="352" t="str">
        <f t="shared" si="21"/>
        <v/>
      </c>
    </row>
    <row r="115" spans="2:34">
      <c r="B115" s="166" t="s">
        <v>243</v>
      </c>
      <c r="C115" s="150"/>
      <c r="D115" s="150" t="s">
        <v>116</v>
      </c>
      <c r="E115" s="150" t="s">
        <v>143</v>
      </c>
      <c r="F115" s="150" t="s">
        <v>666</v>
      </c>
      <c r="G115" s="146"/>
      <c r="H115" s="155"/>
      <c r="I115" s="135">
        <f t="shared" si="22"/>
        <v>0</v>
      </c>
      <c r="J115" s="147"/>
      <c r="K115" s="155">
        <v>457.37554401210701</v>
      </c>
      <c r="L115" s="88">
        <f t="shared" si="23"/>
        <v>872.91136403530936</v>
      </c>
      <c r="M115" s="160">
        <v>399248.31</v>
      </c>
      <c r="N115" s="167">
        <v>2016</v>
      </c>
      <c r="O115" s="167">
        <f>IFERROR(('General Input Sheet'!$G$38/(VLOOKUP(N115,'General Input Sheet'!$E$38:$G$44,3,FALSE))),1)</f>
        <v>1</v>
      </c>
      <c r="P115" s="189">
        <f t="shared" si="15"/>
        <v>399248.31</v>
      </c>
      <c r="Q115" s="89" t="str">
        <f t="shared" si="24"/>
        <v/>
      </c>
      <c r="R115" s="89" t="str">
        <f t="shared" si="24"/>
        <v/>
      </c>
      <c r="S115" s="89" t="str">
        <f t="shared" si="24"/>
        <v/>
      </c>
      <c r="T115" s="89" t="str">
        <f t="shared" si="24"/>
        <v/>
      </c>
      <c r="U115" s="254" t="str">
        <f t="shared" si="24"/>
        <v>y</v>
      </c>
      <c r="V115" s="308"/>
      <c r="W115" s="309" t="str" cm="1">
        <f t="array" ref="W115">_xlfn.IFS(AND(Q115="y",$D115="Local"), 1, AND(Q115="y",$D115&lt;&gt;"Local"),1.49009696454663%, Q115="","")</f>
        <v/>
      </c>
      <c r="X115" s="272" t="str" cm="1">
        <f t="array" ref="X115">_xlfn.IFS(AND(R115="y",$D115="Local"), 1, AND(R115="y",$D115&lt;&gt;"Local"),20.7557554582461%, R115="","")</f>
        <v/>
      </c>
      <c r="Y115" s="272" t="str" cm="1">
        <f t="array" ref="Y115">_xlfn.IFS(AND(S115="y",$D115="Local"), 1, AND(S115="y",$D115&lt;&gt;"Local"),30.3499104327336%, S115="","")</f>
        <v/>
      </c>
      <c r="Z115" s="272" t="str" cm="1">
        <f t="array" ref="Z115">_xlfn.IFS(AND(T115="y",$D115="Local"), 1, AND(T115="y",$D115&lt;&gt;"Local"),29.0043833288201%, T115="","")</f>
        <v/>
      </c>
      <c r="AA115" s="272" cm="1">
        <f t="array" ref="AA115">_xlfn.IFS(AND(U115="y",$D115="Local"), 1, AND(U115="y",$D115&lt;&gt;"Local"),18.3998538156536%, U115="","")</f>
        <v>1</v>
      </c>
      <c r="AB115" s="68">
        <f t="shared" si="16"/>
        <v>1</v>
      </c>
      <c r="AD115" s="306" t="str">
        <f t="shared" si="17"/>
        <v/>
      </c>
      <c r="AE115" s="242" t="str">
        <f t="shared" si="18"/>
        <v/>
      </c>
      <c r="AF115" s="242" t="str">
        <f t="shared" si="19"/>
        <v/>
      </c>
      <c r="AG115" s="242" t="str">
        <f t="shared" si="20"/>
        <v/>
      </c>
      <c r="AH115" s="352">
        <f t="shared" si="21"/>
        <v>399248.31</v>
      </c>
    </row>
    <row r="116" spans="2:34">
      <c r="B116" s="166" t="s">
        <v>244</v>
      </c>
      <c r="C116" s="150"/>
      <c r="D116" s="150" t="s">
        <v>118</v>
      </c>
      <c r="E116" s="150" t="s">
        <v>142</v>
      </c>
      <c r="F116" s="150" t="s">
        <v>667</v>
      </c>
      <c r="G116" s="146"/>
      <c r="H116" s="155"/>
      <c r="I116" s="135">
        <f t="shared" si="22"/>
        <v>0</v>
      </c>
      <c r="J116" s="147"/>
      <c r="K116" s="155">
        <v>561.48310140063802</v>
      </c>
      <c r="L116" s="88">
        <f t="shared" si="23"/>
        <v>165.35477161894602</v>
      </c>
      <c r="M116" s="160">
        <v>92843.91</v>
      </c>
      <c r="N116" s="167">
        <v>2016</v>
      </c>
      <c r="O116" s="167">
        <f>IFERROR(('General Input Sheet'!$G$38/(VLOOKUP(N116,'General Input Sheet'!$E$38:$G$44,3,FALSE))),1)</f>
        <v>1</v>
      </c>
      <c r="P116" s="189">
        <f t="shared" si="15"/>
        <v>92843.91</v>
      </c>
      <c r="Q116" s="89" t="str">
        <f t="shared" si="24"/>
        <v>y</v>
      </c>
      <c r="R116" s="89" t="str">
        <f t="shared" si="24"/>
        <v>y</v>
      </c>
      <c r="S116" s="89" t="str">
        <f t="shared" si="24"/>
        <v>y</v>
      </c>
      <c r="T116" s="89" t="str">
        <f t="shared" si="24"/>
        <v>y</v>
      </c>
      <c r="U116" s="254" t="str">
        <f t="shared" si="24"/>
        <v>y</v>
      </c>
      <c r="V116" s="308"/>
      <c r="W116" s="309" cm="1">
        <f t="array" ref="W116">_xlfn.IFS(AND(Q116="y",$D116="Local"), 1, AND(Q116="y",$D116&lt;&gt;"Local"),1.49009696454663%, Q116="","")</f>
        <v>1.49009696454663E-2</v>
      </c>
      <c r="X116" s="272" cm="1">
        <f t="array" ref="X116">_xlfn.IFS(AND(R116="y",$D116="Local"), 1, AND(R116="y",$D116&lt;&gt;"Local"),20.7557554582461%, R116="","")</f>
        <v>0.207557554582461</v>
      </c>
      <c r="Y116" s="272" cm="1">
        <f t="array" ref="Y116">_xlfn.IFS(AND(S116="y",$D116="Local"), 1, AND(S116="y",$D116&lt;&gt;"Local"),30.3499104327336%, S116="","")</f>
        <v>0.30349910432733601</v>
      </c>
      <c r="Z116" s="272" cm="1">
        <f t="array" ref="Z116">_xlfn.IFS(AND(T116="y",$D116="Local"), 1, AND(T116="y",$D116&lt;&gt;"Local"),29.0043833288201%, T116="","")</f>
        <v>0.29004383328820099</v>
      </c>
      <c r="AA116" s="272" cm="1">
        <f t="array" ref="AA116">_xlfn.IFS(AND(U116="y",$D116="Local"), 1, AND(U116="y",$D116&lt;&gt;"Local"),18.3998538156536%, U116="","")</f>
        <v>0.183998538156536</v>
      </c>
      <c r="AB116" s="68">
        <f t="shared" si="16"/>
        <v>1.0000000000000004</v>
      </c>
      <c r="AD116" s="306">
        <f t="shared" si="17"/>
        <v>1383.4642846764045</v>
      </c>
      <c r="AE116" s="242">
        <f t="shared" si="18"/>
        <v>19270.45491747409</v>
      </c>
      <c r="AF116" s="242">
        <f t="shared" si="19"/>
        <v>28178.043527247784</v>
      </c>
      <c r="AG116" s="242">
        <f t="shared" si="20"/>
        <v>26928.803553864727</v>
      </c>
      <c r="AH116" s="352">
        <f t="shared" si="21"/>
        <v>17083.143716736988</v>
      </c>
    </row>
    <row r="117" spans="2:34">
      <c r="B117" s="166" t="s">
        <v>245</v>
      </c>
      <c r="C117" s="150"/>
      <c r="D117" s="150" t="s">
        <v>118</v>
      </c>
      <c r="E117" s="150" t="s">
        <v>140</v>
      </c>
      <c r="F117" s="150" t="s">
        <v>668</v>
      </c>
      <c r="G117" s="146"/>
      <c r="H117" s="155"/>
      <c r="I117" s="135">
        <f t="shared" si="22"/>
        <v>0</v>
      </c>
      <c r="J117" s="147"/>
      <c r="K117" s="155">
        <v>266.97021081266399</v>
      </c>
      <c r="L117" s="88">
        <f t="shared" si="23"/>
        <v>734.52730700955772</v>
      </c>
      <c r="M117" s="160">
        <v>196096.91</v>
      </c>
      <c r="N117" s="167">
        <v>2016</v>
      </c>
      <c r="O117" s="167">
        <f>IFERROR(('General Input Sheet'!$G$38/(VLOOKUP(N117,'General Input Sheet'!$E$38:$G$44,3,FALSE))),1)</f>
        <v>1</v>
      </c>
      <c r="P117" s="189">
        <f t="shared" si="15"/>
        <v>196096.91</v>
      </c>
      <c r="Q117" s="89" t="str">
        <f t="shared" si="24"/>
        <v>y</v>
      </c>
      <c r="R117" s="89" t="str">
        <f t="shared" si="24"/>
        <v>y</v>
      </c>
      <c r="S117" s="89" t="str">
        <f t="shared" si="24"/>
        <v>y</v>
      </c>
      <c r="T117" s="89" t="str">
        <f t="shared" si="24"/>
        <v>y</v>
      </c>
      <c r="U117" s="254" t="str">
        <f t="shared" si="24"/>
        <v>y</v>
      </c>
      <c r="V117" s="308"/>
      <c r="W117" s="309" cm="1">
        <f t="array" ref="W117">_xlfn.IFS(AND(Q117="y",$D117="Local"), 1, AND(Q117="y",$D117&lt;&gt;"Local"),1.49009696454663%, Q117="","")</f>
        <v>1.49009696454663E-2</v>
      </c>
      <c r="X117" s="272" cm="1">
        <f t="array" ref="X117">_xlfn.IFS(AND(R117="y",$D117="Local"), 1, AND(R117="y",$D117&lt;&gt;"Local"),20.7557554582461%, R117="","")</f>
        <v>0.207557554582461</v>
      </c>
      <c r="Y117" s="272" cm="1">
        <f t="array" ref="Y117">_xlfn.IFS(AND(S117="y",$D117="Local"), 1, AND(S117="y",$D117&lt;&gt;"Local"),30.3499104327336%, S117="","")</f>
        <v>0.30349910432733601</v>
      </c>
      <c r="Z117" s="272" cm="1">
        <f t="array" ref="Z117">_xlfn.IFS(AND(T117="y",$D117="Local"), 1, AND(T117="y",$D117&lt;&gt;"Local"),29.0043833288201%, T117="","")</f>
        <v>0.29004383328820099</v>
      </c>
      <c r="AA117" s="272" cm="1">
        <f t="array" ref="AA117">_xlfn.IFS(AND(U117="y",$D117="Local"), 1, AND(U117="y",$D117&lt;&gt;"Local"),18.3998538156536%, U117="","")</f>
        <v>0.183998538156536</v>
      </c>
      <c r="AB117" s="68">
        <f t="shared" si="16"/>
        <v>1.0000000000000004</v>
      </c>
      <c r="AD117" s="306">
        <f t="shared" si="17"/>
        <v>2922.0341034797357</v>
      </c>
      <c r="AE117" s="242">
        <f t="shared" si="18"/>
        <v>40701.395100776928</v>
      </c>
      <c r="AF117" s="242">
        <f t="shared" si="19"/>
        <v>59515.236546358203</v>
      </c>
      <c r="AG117" s="242">
        <f t="shared" si="20"/>
        <v>56876.699472371336</v>
      </c>
      <c r="AH117" s="352">
        <f t="shared" si="21"/>
        <v>36081.544777013791</v>
      </c>
    </row>
    <row r="118" spans="2:34">
      <c r="B118" s="166" t="s">
        <v>246</v>
      </c>
      <c r="C118" s="150"/>
      <c r="D118" s="150" t="s">
        <v>118</v>
      </c>
      <c r="E118" s="150" t="s">
        <v>142</v>
      </c>
      <c r="F118" s="150" t="s">
        <v>669</v>
      </c>
      <c r="G118" s="146"/>
      <c r="H118" s="155"/>
      <c r="I118" s="135">
        <f t="shared" si="22"/>
        <v>0</v>
      </c>
      <c r="J118" s="147"/>
      <c r="K118" s="155">
        <v>267.45586968318003</v>
      </c>
      <c r="L118" s="88">
        <f t="shared" si="23"/>
        <v>233.06514107856256</v>
      </c>
      <c r="M118" s="160">
        <v>62334.64</v>
      </c>
      <c r="N118" s="167">
        <v>2016</v>
      </c>
      <c r="O118" s="167">
        <f>IFERROR(('General Input Sheet'!$G$38/(VLOOKUP(N118,'General Input Sheet'!$E$38:$G$44,3,FALSE))),1)</f>
        <v>1</v>
      </c>
      <c r="P118" s="189">
        <f t="shared" si="15"/>
        <v>62334.64</v>
      </c>
      <c r="Q118" s="89" t="str">
        <f t="shared" si="24"/>
        <v>y</v>
      </c>
      <c r="R118" s="89" t="str">
        <f t="shared" si="24"/>
        <v>y</v>
      </c>
      <c r="S118" s="89" t="str">
        <f t="shared" si="24"/>
        <v>y</v>
      </c>
      <c r="T118" s="89" t="str">
        <f t="shared" si="24"/>
        <v>y</v>
      </c>
      <c r="U118" s="254" t="str">
        <f t="shared" si="24"/>
        <v>y</v>
      </c>
      <c r="V118" s="308"/>
      <c r="W118" s="309" cm="1">
        <f t="array" ref="W118">_xlfn.IFS(AND(Q118="y",$D118="Local"), 1, AND(Q118="y",$D118&lt;&gt;"Local"),1.49009696454663%, Q118="","")</f>
        <v>1.49009696454663E-2</v>
      </c>
      <c r="X118" s="272" cm="1">
        <f t="array" ref="X118">_xlfn.IFS(AND(R118="y",$D118="Local"), 1, AND(R118="y",$D118&lt;&gt;"Local"),20.7557554582461%, R118="","")</f>
        <v>0.207557554582461</v>
      </c>
      <c r="Y118" s="272" cm="1">
        <f t="array" ref="Y118">_xlfn.IFS(AND(S118="y",$D118="Local"), 1, AND(S118="y",$D118&lt;&gt;"Local"),30.3499104327336%, S118="","")</f>
        <v>0.30349910432733601</v>
      </c>
      <c r="Z118" s="272" cm="1">
        <f t="array" ref="Z118">_xlfn.IFS(AND(T118="y",$D118="Local"), 1, AND(T118="y",$D118&lt;&gt;"Local"),29.0043833288201%, T118="","")</f>
        <v>0.29004383328820099</v>
      </c>
      <c r="AA118" s="272" cm="1">
        <f t="array" ref="AA118">_xlfn.IFS(AND(U118="y",$D118="Local"), 1, AND(U118="y",$D118&lt;&gt;"Local"),18.3998538156536%, U118="","")</f>
        <v>0.183998538156536</v>
      </c>
      <c r="AB118" s="68">
        <f t="shared" si="16"/>
        <v>1.0000000000000004</v>
      </c>
      <c r="AD118" s="306">
        <f t="shared" si="17"/>
        <v>928.84657850106896</v>
      </c>
      <c r="AE118" s="242">
        <f t="shared" si="18"/>
        <v>12938.025444178051</v>
      </c>
      <c r="AF118" s="242">
        <f t="shared" si="19"/>
        <v>18918.507408566926</v>
      </c>
      <c r="AG118" s="242">
        <f t="shared" si="20"/>
        <v>18079.777932240017</v>
      </c>
      <c r="AH118" s="352">
        <f t="shared" si="21"/>
        <v>11469.482636513929</v>
      </c>
    </row>
    <row r="119" spans="2:34">
      <c r="B119" s="166" t="s">
        <v>247</v>
      </c>
      <c r="C119" s="150"/>
      <c r="D119" s="150" t="s">
        <v>118</v>
      </c>
      <c r="E119" s="150" t="s">
        <v>140</v>
      </c>
      <c r="F119" s="150" t="s">
        <v>670</v>
      </c>
      <c r="G119" s="146"/>
      <c r="H119" s="155"/>
      <c r="I119" s="135">
        <f t="shared" si="22"/>
        <v>0</v>
      </c>
      <c r="J119" s="147"/>
      <c r="K119" s="155">
        <v>267.42350779260198</v>
      </c>
      <c r="L119" s="88">
        <f t="shared" si="23"/>
        <v>730.84364053580327</v>
      </c>
      <c r="M119" s="160">
        <v>195444.77</v>
      </c>
      <c r="N119" s="167">
        <v>2016</v>
      </c>
      <c r="O119" s="167">
        <f>IFERROR(('General Input Sheet'!$G$38/(VLOOKUP(N119,'General Input Sheet'!$E$38:$G$44,3,FALSE))),1)</f>
        <v>1</v>
      </c>
      <c r="P119" s="189">
        <f t="shared" si="15"/>
        <v>195444.77</v>
      </c>
      <c r="Q119" s="89" t="str">
        <f t="shared" si="24"/>
        <v>y</v>
      </c>
      <c r="R119" s="89" t="str">
        <f t="shared" si="24"/>
        <v>y</v>
      </c>
      <c r="S119" s="89" t="str">
        <f t="shared" si="24"/>
        <v>y</v>
      </c>
      <c r="T119" s="89" t="str">
        <f t="shared" si="24"/>
        <v>y</v>
      </c>
      <c r="U119" s="254" t="str">
        <f t="shared" si="24"/>
        <v>y</v>
      </c>
      <c r="V119" s="308"/>
      <c r="W119" s="309" cm="1">
        <f t="array" ref="W119">_xlfn.IFS(AND(Q119="y",$D119="Local"), 1, AND(Q119="y",$D119&lt;&gt;"Local"),1.49009696454663%, Q119="","")</f>
        <v>1.49009696454663E-2</v>
      </c>
      <c r="X119" s="272" cm="1">
        <f t="array" ref="X119">_xlfn.IFS(AND(R119="y",$D119="Local"), 1, AND(R119="y",$D119&lt;&gt;"Local"),20.7557554582461%, R119="","")</f>
        <v>0.207557554582461</v>
      </c>
      <c r="Y119" s="272" cm="1">
        <f t="array" ref="Y119">_xlfn.IFS(AND(S119="y",$D119="Local"), 1, AND(S119="y",$D119&lt;&gt;"Local"),30.3499104327336%, S119="","")</f>
        <v>0.30349910432733601</v>
      </c>
      <c r="Z119" s="272" cm="1">
        <f t="array" ref="Z119">_xlfn.IFS(AND(T119="y",$D119="Local"), 1, AND(T119="y",$D119&lt;&gt;"Local"),29.0043833288201%, T119="","")</f>
        <v>0.29004383328820099</v>
      </c>
      <c r="AA119" s="272" cm="1">
        <f t="array" ref="AA119">_xlfn.IFS(AND(U119="y",$D119="Local"), 1, AND(U119="y",$D119&lt;&gt;"Local"),18.3998538156536%, U119="","")</f>
        <v>0.183998538156536</v>
      </c>
      <c r="AB119" s="68">
        <f t="shared" si="16"/>
        <v>1.0000000000000004</v>
      </c>
      <c r="AD119" s="306">
        <f t="shared" si="17"/>
        <v>2912.3165851351409</v>
      </c>
      <c r="AE119" s="242">
        <f t="shared" si="18"/>
        <v>40566.038517131521</v>
      </c>
      <c r="AF119" s="242">
        <f t="shared" si="19"/>
        <v>59317.312640462165</v>
      </c>
      <c r="AG119" s="242">
        <f t="shared" si="20"/>
        <v>56687.55028693076</v>
      </c>
      <c r="AH119" s="352">
        <f t="shared" si="21"/>
        <v>35961.551970340384</v>
      </c>
    </row>
    <row r="120" spans="2:34">
      <c r="B120" s="166" t="s">
        <v>248</v>
      </c>
      <c r="C120" s="150"/>
      <c r="D120" s="150" t="s">
        <v>118</v>
      </c>
      <c r="E120" s="150" t="s">
        <v>142</v>
      </c>
      <c r="F120" s="150" t="s">
        <v>671</v>
      </c>
      <c r="G120" s="146"/>
      <c r="H120" s="155"/>
      <c r="I120" s="135">
        <f t="shared" si="22"/>
        <v>0</v>
      </c>
      <c r="J120" s="147"/>
      <c r="K120" s="155">
        <v>430.37915908116798</v>
      </c>
      <c r="L120" s="88">
        <f t="shared" si="23"/>
        <v>266.62745530007965</v>
      </c>
      <c r="M120" s="160">
        <v>114750.9</v>
      </c>
      <c r="N120" s="167">
        <v>2016</v>
      </c>
      <c r="O120" s="167">
        <f>IFERROR(('General Input Sheet'!$G$38/(VLOOKUP(N120,'General Input Sheet'!$E$38:$G$44,3,FALSE))),1)</f>
        <v>1</v>
      </c>
      <c r="P120" s="189">
        <f t="shared" si="15"/>
        <v>114750.9</v>
      </c>
      <c r="Q120" s="89" t="str">
        <f t="shared" si="24"/>
        <v>y</v>
      </c>
      <c r="R120" s="89" t="str">
        <f t="shared" si="24"/>
        <v>y</v>
      </c>
      <c r="S120" s="89" t="str">
        <f t="shared" si="24"/>
        <v>y</v>
      </c>
      <c r="T120" s="89" t="str">
        <f t="shared" si="24"/>
        <v>y</v>
      </c>
      <c r="U120" s="254" t="str">
        <f t="shared" si="24"/>
        <v>y</v>
      </c>
      <c r="V120" s="308"/>
      <c r="W120" s="309" cm="1">
        <f t="array" ref="W120">_xlfn.IFS(AND(Q120="y",$D120="Local"), 1, AND(Q120="y",$D120&lt;&gt;"Local"),1.49009696454663%, Q120="","")</f>
        <v>1.49009696454663E-2</v>
      </c>
      <c r="X120" s="272" cm="1">
        <f t="array" ref="X120">_xlfn.IFS(AND(R120="y",$D120="Local"), 1, AND(R120="y",$D120&lt;&gt;"Local"),20.7557554582461%, R120="","")</f>
        <v>0.207557554582461</v>
      </c>
      <c r="Y120" s="272" cm="1">
        <f t="array" ref="Y120">_xlfn.IFS(AND(S120="y",$D120="Local"), 1, AND(S120="y",$D120&lt;&gt;"Local"),30.3499104327336%, S120="","")</f>
        <v>0.30349910432733601</v>
      </c>
      <c r="Z120" s="272" cm="1">
        <f t="array" ref="Z120">_xlfn.IFS(AND(T120="y",$D120="Local"), 1, AND(T120="y",$D120&lt;&gt;"Local"),29.0043833288201%, T120="","")</f>
        <v>0.29004383328820099</v>
      </c>
      <c r="AA120" s="272" cm="1">
        <f t="array" ref="AA120">_xlfn.IFS(AND(U120="y",$D120="Local"), 1, AND(U120="y",$D120&lt;&gt;"Local"),18.3998538156536%, U120="","")</f>
        <v>0.183998538156536</v>
      </c>
      <c r="AB120" s="68">
        <f t="shared" si="16"/>
        <v>1.0000000000000004</v>
      </c>
      <c r="AD120" s="306">
        <f t="shared" si="17"/>
        <v>1709.899677689938</v>
      </c>
      <c r="AE120" s="242">
        <f t="shared" si="18"/>
        <v>23817.416190136515</v>
      </c>
      <c r="AF120" s="242">
        <f t="shared" si="19"/>
        <v>34826.795370755688</v>
      </c>
      <c r="AG120" s="242">
        <f t="shared" si="20"/>
        <v>33282.790909271011</v>
      </c>
      <c r="AH120" s="352">
        <f t="shared" si="21"/>
        <v>21113.997852146837</v>
      </c>
    </row>
    <row r="121" spans="2:34">
      <c r="B121" s="166" t="s">
        <v>249</v>
      </c>
      <c r="C121" s="150"/>
      <c r="D121" s="150" t="s">
        <v>118</v>
      </c>
      <c r="E121" s="150" t="s">
        <v>140</v>
      </c>
      <c r="F121" s="150" t="s">
        <v>672</v>
      </c>
      <c r="G121" s="146"/>
      <c r="H121" s="155"/>
      <c r="I121" s="135">
        <f t="shared" si="22"/>
        <v>0</v>
      </c>
      <c r="J121" s="147"/>
      <c r="K121" s="155">
        <v>267.84953429983</v>
      </c>
      <c r="L121" s="88">
        <f t="shared" si="23"/>
        <v>727.50669703189271</v>
      </c>
      <c r="M121" s="160">
        <v>194862.33</v>
      </c>
      <c r="N121" s="167">
        <v>2016</v>
      </c>
      <c r="O121" s="167">
        <f>IFERROR(('General Input Sheet'!$G$38/(VLOOKUP(N121,'General Input Sheet'!$E$38:$G$44,3,FALSE))),1)</f>
        <v>1</v>
      </c>
      <c r="P121" s="189">
        <f t="shared" si="15"/>
        <v>194862.33</v>
      </c>
      <c r="Q121" s="89" t="str">
        <f t="shared" si="24"/>
        <v>y</v>
      </c>
      <c r="R121" s="89" t="str">
        <f t="shared" si="24"/>
        <v>y</v>
      </c>
      <c r="S121" s="89" t="str">
        <f t="shared" si="24"/>
        <v>y</v>
      </c>
      <c r="T121" s="89" t="str">
        <f t="shared" si="24"/>
        <v>y</v>
      </c>
      <c r="U121" s="254" t="str">
        <f t="shared" si="24"/>
        <v>y</v>
      </c>
      <c r="V121" s="308"/>
      <c r="W121" s="309" cm="1">
        <f t="array" ref="W121">_xlfn.IFS(AND(Q121="y",$D121="Local"), 1, AND(Q121="y",$D121&lt;&gt;"Local"),1.49009696454663%, Q121="","")</f>
        <v>1.49009696454663E-2</v>
      </c>
      <c r="X121" s="272" cm="1">
        <f t="array" ref="X121">_xlfn.IFS(AND(R121="y",$D121="Local"), 1, AND(R121="y",$D121&lt;&gt;"Local"),20.7557554582461%, R121="","")</f>
        <v>0.207557554582461</v>
      </c>
      <c r="Y121" s="272" cm="1">
        <f t="array" ref="Y121">_xlfn.IFS(AND(S121="y",$D121="Local"), 1, AND(S121="y",$D121&lt;&gt;"Local"),30.3499104327336%, S121="","")</f>
        <v>0.30349910432733601</v>
      </c>
      <c r="Z121" s="272" cm="1">
        <f t="array" ref="Z121">_xlfn.IFS(AND(T121="y",$D121="Local"), 1, AND(T121="y",$D121&lt;&gt;"Local"),29.0043833288201%, T121="","")</f>
        <v>0.29004383328820099</v>
      </c>
      <c r="AA121" s="272" cm="1">
        <f t="array" ref="AA121">_xlfn.IFS(AND(U121="y",$D121="Local"), 1, AND(U121="y",$D121&lt;&gt;"Local"),18.3998538156536%, U121="","")</f>
        <v>0.183998538156536</v>
      </c>
      <c r="AB121" s="68">
        <f t="shared" si="16"/>
        <v>1.0000000000000004</v>
      </c>
      <c r="AD121" s="306">
        <f t="shared" si="17"/>
        <v>2903.6376643748358</v>
      </c>
      <c r="AE121" s="242">
        <f t="shared" si="18"/>
        <v>40445.148695040509</v>
      </c>
      <c r="AF121" s="242">
        <f t="shared" si="19"/>
        <v>59140.542622137749</v>
      </c>
      <c r="AG121" s="242">
        <f t="shared" si="20"/>
        <v>56518.617156670378</v>
      </c>
      <c r="AH121" s="352">
        <f t="shared" si="21"/>
        <v>35854.383861776492</v>
      </c>
    </row>
    <row r="122" spans="2:34">
      <c r="B122" s="166" t="s">
        <v>250</v>
      </c>
      <c r="C122" s="150"/>
      <c r="D122" s="150" t="s">
        <v>118</v>
      </c>
      <c r="E122" s="150" t="s">
        <v>140</v>
      </c>
      <c r="F122" s="150" t="s">
        <v>673</v>
      </c>
      <c r="G122" s="146"/>
      <c r="H122" s="155"/>
      <c r="I122" s="135">
        <f t="shared" si="22"/>
        <v>0</v>
      </c>
      <c r="J122" s="147"/>
      <c r="K122" s="155">
        <v>268.26328876138598</v>
      </c>
      <c r="L122" s="88">
        <f t="shared" si="23"/>
        <v>724.50077271987834</v>
      </c>
      <c r="M122" s="160">
        <v>194356.96</v>
      </c>
      <c r="N122" s="167">
        <v>2016</v>
      </c>
      <c r="O122" s="167">
        <f>IFERROR(('General Input Sheet'!$G$38/(VLOOKUP(N122,'General Input Sheet'!$E$38:$G$44,3,FALSE))),1)</f>
        <v>1</v>
      </c>
      <c r="P122" s="189">
        <f t="shared" si="15"/>
        <v>194356.96</v>
      </c>
      <c r="Q122" s="89" t="str">
        <f t="shared" si="24"/>
        <v>y</v>
      </c>
      <c r="R122" s="89" t="str">
        <f t="shared" si="24"/>
        <v>y</v>
      </c>
      <c r="S122" s="89" t="str">
        <f t="shared" si="24"/>
        <v>y</v>
      </c>
      <c r="T122" s="89" t="str">
        <f t="shared" si="24"/>
        <v>y</v>
      </c>
      <c r="U122" s="254" t="str">
        <f t="shared" si="24"/>
        <v>y</v>
      </c>
      <c r="V122" s="308"/>
      <c r="W122" s="309" cm="1">
        <f t="array" ref="W122">_xlfn.IFS(AND(Q122="y",$D122="Local"), 1, AND(Q122="y",$D122&lt;&gt;"Local"),1.49009696454663%, Q122="","")</f>
        <v>1.49009696454663E-2</v>
      </c>
      <c r="X122" s="272" cm="1">
        <f t="array" ref="X122">_xlfn.IFS(AND(R122="y",$D122="Local"), 1, AND(R122="y",$D122&lt;&gt;"Local"),20.7557554582461%, R122="","")</f>
        <v>0.207557554582461</v>
      </c>
      <c r="Y122" s="272" cm="1">
        <f t="array" ref="Y122">_xlfn.IFS(AND(S122="y",$D122="Local"), 1, AND(S122="y",$D122&lt;&gt;"Local"),30.3499104327336%, S122="","")</f>
        <v>0.30349910432733601</v>
      </c>
      <c r="Z122" s="272" cm="1">
        <f t="array" ref="Z122">_xlfn.IFS(AND(T122="y",$D122="Local"), 1, AND(T122="y",$D122&lt;&gt;"Local"),29.0043833288201%, T122="","")</f>
        <v>0.29004383328820099</v>
      </c>
      <c r="AA122" s="272" cm="1">
        <f t="array" ref="AA122">_xlfn.IFS(AND(U122="y",$D122="Local"), 1, AND(U122="y",$D122&lt;&gt;"Local"),18.3998538156536%, U122="","")</f>
        <v>0.183998538156536</v>
      </c>
      <c r="AB122" s="68">
        <f t="shared" si="16"/>
        <v>1.0000000000000004</v>
      </c>
      <c r="AD122" s="306">
        <f t="shared" si="17"/>
        <v>2896.1071613451063</v>
      </c>
      <c r="AE122" s="242">
        <f t="shared" si="18"/>
        <v>40340.255333681169</v>
      </c>
      <c r="AF122" s="242">
        <f t="shared" si="19"/>
        <v>58987.163279783847</v>
      </c>
      <c r="AG122" s="242">
        <f t="shared" si="20"/>
        <v>56372.037704641523</v>
      </c>
      <c r="AH122" s="352">
        <f t="shared" si="21"/>
        <v>35761.396520548325</v>
      </c>
    </row>
    <row r="123" spans="2:34">
      <c r="B123" s="166" t="s">
        <v>251</v>
      </c>
      <c r="C123" s="150"/>
      <c r="D123" s="150" t="s">
        <v>118</v>
      </c>
      <c r="E123" s="150" t="s">
        <v>140</v>
      </c>
      <c r="F123" s="150" t="s">
        <v>674</v>
      </c>
      <c r="G123" s="146">
        <v>56000</v>
      </c>
      <c r="H123" s="155">
        <v>3550</v>
      </c>
      <c r="I123" s="135">
        <f t="shared" si="22"/>
        <v>45</v>
      </c>
      <c r="J123" s="147">
        <v>215750</v>
      </c>
      <c r="K123" s="155">
        <v>3511.4245205314501</v>
      </c>
      <c r="L123" s="88">
        <f t="shared" si="23"/>
        <v>115.59863457881336</v>
      </c>
      <c r="M123" s="160">
        <v>405915.88</v>
      </c>
      <c r="N123" s="167">
        <v>2016</v>
      </c>
      <c r="O123" s="167">
        <f>IFERROR(('General Input Sheet'!$G$38/(VLOOKUP(N123,'General Input Sheet'!$E$38:$G$44,3,FALSE))),1)</f>
        <v>1</v>
      </c>
      <c r="P123" s="189">
        <f t="shared" si="15"/>
        <v>621665.88</v>
      </c>
      <c r="Q123" s="89" t="str">
        <f t="shared" si="24"/>
        <v>y</v>
      </c>
      <c r="R123" s="89" t="str">
        <f t="shared" si="24"/>
        <v>y</v>
      </c>
      <c r="S123" s="89" t="str">
        <f t="shared" si="24"/>
        <v>y</v>
      </c>
      <c r="T123" s="89" t="str">
        <f t="shared" si="24"/>
        <v>y</v>
      </c>
      <c r="U123" s="254" t="str">
        <f t="shared" si="24"/>
        <v>y</v>
      </c>
      <c r="V123" s="308"/>
      <c r="W123" s="309" cm="1">
        <f t="array" ref="W123">_xlfn.IFS(AND(Q123="y",$D123="Local"), 1, AND(Q123="y",$D123&lt;&gt;"Local"),1.49009696454663%, Q123="","")</f>
        <v>1.49009696454663E-2</v>
      </c>
      <c r="X123" s="272" cm="1">
        <f t="array" ref="X123">_xlfn.IFS(AND(R123="y",$D123="Local"), 1, AND(R123="y",$D123&lt;&gt;"Local"),20.7557554582461%, R123="","")</f>
        <v>0.207557554582461</v>
      </c>
      <c r="Y123" s="272" cm="1">
        <f t="array" ref="Y123">_xlfn.IFS(AND(S123="y",$D123="Local"), 1, AND(S123="y",$D123&lt;&gt;"Local"),30.3499104327336%, S123="","")</f>
        <v>0.30349910432733601</v>
      </c>
      <c r="Z123" s="272" cm="1">
        <f t="array" ref="Z123">_xlfn.IFS(AND(T123="y",$D123="Local"), 1, AND(T123="y",$D123&lt;&gt;"Local"),29.0043833288201%, T123="","")</f>
        <v>0.29004383328820099</v>
      </c>
      <c r="AA123" s="272" cm="1">
        <f t="array" ref="AA123">_xlfn.IFS(AND(U123="y",$D123="Local"), 1, AND(U123="y",$D123&lt;&gt;"Local"),18.3998538156536%, U123="","")</f>
        <v>0.183998538156536</v>
      </c>
      <c r="AB123" s="68">
        <f t="shared" si="16"/>
        <v>1.0000000000000004</v>
      </c>
      <c r="AD123" s="306">
        <f t="shared" si="17"/>
        <v>9263.4244075020906</v>
      </c>
      <c r="AE123" s="242">
        <f t="shared" si="18"/>
        <v>129031.4498201536</v>
      </c>
      <c r="AF123" s="242">
        <f t="shared" si="19"/>
        <v>188675.03777086508</v>
      </c>
      <c r="AG123" s="242">
        <f t="shared" si="20"/>
        <v>180310.3548596827</v>
      </c>
      <c r="AH123" s="352">
        <f t="shared" si="21"/>
        <v>114385.61314179648</v>
      </c>
    </row>
    <row r="124" spans="2:34">
      <c r="B124" s="166" t="s">
        <v>252</v>
      </c>
      <c r="C124" s="150"/>
      <c r="D124" s="150" t="s">
        <v>118</v>
      </c>
      <c r="E124" s="150" t="s">
        <v>140</v>
      </c>
      <c r="F124" s="150" t="s">
        <v>675</v>
      </c>
      <c r="G124" s="146"/>
      <c r="H124" s="155"/>
      <c r="I124" s="135">
        <f t="shared" si="22"/>
        <v>0</v>
      </c>
      <c r="J124" s="147"/>
      <c r="K124" s="155">
        <v>268.54611095980499</v>
      </c>
      <c r="L124" s="88">
        <f t="shared" si="23"/>
        <v>721.5914961769987</v>
      </c>
      <c r="M124" s="160">
        <v>193780.59</v>
      </c>
      <c r="N124" s="167">
        <v>2016</v>
      </c>
      <c r="O124" s="167">
        <f>IFERROR(('General Input Sheet'!$G$38/(VLOOKUP(N124,'General Input Sheet'!$E$38:$G$44,3,FALSE))),1)</f>
        <v>1</v>
      </c>
      <c r="P124" s="186">
        <f t="shared" si="15"/>
        <v>193780.59</v>
      </c>
      <c r="Q124" s="89" t="str">
        <f t="shared" si="24"/>
        <v>y</v>
      </c>
      <c r="R124" s="89" t="str">
        <f t="shared" si="24"/>
        <v>y</v>
      </c>
      <c r="S124" s="89" t="str">
        <f t="shared" si="24"/>
        <v>y</v>
      </c>
      <c r="T124" s="89" t="str">
        <f t="shared" si="24"/>
        <v>y</v>
      </c>
      <c r="U124" s="254" t="str">
        <f t="shared" si="24"/>
        <v>y</v>
      </c>
      <c r="V124" s="308"/>
      <c r="W124" s="309" cm="1">
        <f t="array" ref="W124">_xlfn.IFS(AND(Q124="y",$D124="Local"), 1, AND(Q124="y",$D124&lt;&gt;"Local"),1.49009696454663%, Q124="","")</f>
        <v>1.49009696454663E-2</v>
      </c>
      <c r="X124" s="272" cm="1">
        <f t="array" ref="X124">_xlfn.IFS(AND(R124="y",$D124="Local"), 1, AND(R124="y",$D124&lt;&gt;"Local"),20.7557554582461%, R124="","")</f>
        <v>0.207557554582461</v>
      </c>
      <c r="Y124" s="272" cm="1">
        <f t="array" ref="Y124">_xlfn.IFS(AND(S124="y",$D124="Local"), 1, AND(S124="y",$D124&lt;&gt;"Local"),30.3499104327336%, S124="","")</f>
        <v>0.30349910432733601</v>
      </c>
      <c r="Z124" s="272" cm="1">
        <f t="array" ref="Z124">_xlfn.IFS(AND(T124="y",$D124="Local"), 1, AND(T124="y",$D124&lt;&gt;"Local"),29.0043833288201%, T124="","")</f>
        <v>0.29004383328820099</v>
      </c>
      <c r="AA124" s="272" cm="1">
        <f t="array" ref="AA124">_xlfn.IFS(AND(U124="y",$D124="Local"), 1, AND(U124="y",$D124&lt;&gt;"Local"),18.3998538156536%, U124="","")</f>
        <v>0.183998538156536</v>
      </c>
      <c r="AB124" s="68">
        <f t="shared" si="16"/>
        <v>1.0000000000000004</v>
      </c>
      <c r="AD124" s="306">
        <f t="shared" si="17"/>
        <v>2887.5186894705489</v>
      </c>
      <c r="AE124" s="242">
        <f t="shared" si="18"/>
        <v>40220.625385946478</v>
      </c>
      <c r="AF124" s="242">
        <f t="shared" si="19"/>
        <v>58812.235501022704</v>
      </c>
      <c r="AG124" s="242">
        <f t="shared" si="20"/>
        <v>56204.865140449205</v>
      </c>
      <c r="AH124" s="352">
        <f t="shared" si="21"/>
        <v>35655.345283111041</v>
      </c>
    </row>
    <row r="125" spans="2:34">
      <c r="B125" s="166" t="s">
        <v>253</v>
      </c>
      <c r="C125" s="150"/>
      <c r="D125" s="150" t="s">
        <v>118</v>
      </c>
      <c r="E125" s="150" t="s">
        <v>140</v>
      </c>
      <c r="F125" s="150" t="s">
        <v>676</v>
      </c>
      <c r="G125" s="146"/>
      <c r="H125" s="155"/>
      <c r="I125" s="135">
        <f t="shared" si="22"/>
        <v>0</v>
      </c>
      <c r="J125" s="147"/>
      <c r="K125" s="155">
        <v>402.75737329666202</v>
      </c>
      <c r="L125" s="88">
        <f t="shared" si="23"/>
        <v>442.45000045906517</v>
      </c>
      <c r="M125" s="160">
        <v>178200</v>
      </c>
      <c r="N125" s="167">
        <v>2016</v>
      </c>
      <c r="O125" s="167">
        <f>IFERROR(('General Input Sheet'!$G$38/(VLOOKUP(N125,'General Input Sheet'!$E$38:$G$44,3,FALSE))),1)</f>
        <v>1</v>
      </c>
      <c r="P125" s="189">
        <f t="shared" si="15"/>
        <v>178200</v>
      </c>
      <c r="Q125" s="89" t="str">
        <f t="shared" si="24"/>
        <v>y</v>
      </c>
      <c r="R125" s="89" t="str">
        <f t="shared" si="24"/>
        <v>y</v>
      </c>
      <c r="S125" s="89" t="str">
        <f t="shared" si="24"/>
        <v>y</v>
      </c>
      <c r="T125" s="89" t="str">
        <f t="shared" si="24"/>
        <v>y</v>
      </c>
      <c r="U125" s="254" t="str">
        <f t="shared" si="24"/>
        <v>y</v>
      </c>
      <c r="V125" s="308"/>
      <c r="W125" s="309" cm="1">
        <f t="array" ref="W125">_xlfn.IFS(AND(Q125="y",$D125="Local"), 1, AND(Q125="y",$D125&lt;&gt;"Local"),1.49009696454663%, Q125="","")</f>
        <v>1.49009696454663E-2</v>
      </c>
      <c r="X125" s="272" cm="1">
        <f t="array" ref="X125">_xlfn.IFS(AND(R125="y",$D125="Local"), 1, AND(R125="y",$D125&lt;&gt;"Local"),20.7557554582461%, R125="","")</f>
        <v>0.207557554582461</v>
      </c>
      <c r="Y125" s="272" cm="1">
        <f t="array" ref="Y125">_xlfn.IFS(AND(S125="y",$D125="Local"), 1, AND(S125="y",$D125&lt;&gt;"Local"),30.3499104327336%, S125="","")</f>
        <v>0.30349910432733601</v>
      </c>
      <c r="Z125" s="272" cm="1">
        <f t="array" ref="Z125">_xlfn.IFS(AND(T125="y",$D125="Local"), 1, AND(T125="y",$D125&lt;&gt;"Local"),29.0043833288201%, T125="","")</f>
        <v>0.29004383328820099</v>
      </c>
      <c r="AA125" s="272" cm="1">
        <f t="array" ref="AA125">_xlfn.IFS(AND(U125="y",$D125="Local"), 1, AND(U125="y",$D125&lt;&gt;"Local"),18.3998538156536%, U125="","")</f>
        <v>0.183998538156536</v>
      </c>
      <c r="AB125" s="68">
        <f t="shared" si="16"/>
        <v>1.0000000000000004</v>
      </c>
      <c r="AD125" s="306">
        <f t="shared" si="17"/>
        <v>2655.3527908220935</v>
      </c>
      <c r="AE125" s="242">
        <f t="shared" si="18"/>
        <v>36986.756226594538</v>
      </c>
      <c r="AF125" s="242">
        <f t="shared" si="19"/>
        <v>54083.540391131261</v>
      </c>
      <c r="AG125" s="242">
        <f t="shared" si="20"/>
        <v>51685.811091957396</v>
      </c>
      <c r="AH125" s="352">
        <f t="shared" si="21"/>
        <v>32788.539499494698</v>
      </c>
    </row>
    <row r="126" spans="2:34">
      <c r="B126" s="166" t="s">
        <v>254</v>
      </c>
      <c r="C126" s="150"/>
      <c r="D126" s="150" t="s">
        <v>118</v>
      </c>
      <c r="E126" s="150" t="s">
        <v>140</v>
      </c>
      <c r="F126" s="150" t="s">
        <v>677</v>
      </c>
      <c r="G126" s="146">
        <v>56000</v>
      </c>
      <c r="H126" s="155">
        <v>2100</v>
      </c>
      <c r="I126" s="135">
        <f t="shared" si="22"/>
        <v>45</v>
      </c>
      <c r="J126" s="147">
        <v>150500</v>
      </c>
      <c r="K126" s="155">
        <v>4365.6462464505203</v>
      </c>
      <c r="L126" s="88">
        <f t="shared" si="23"/>
        <v>104.28865837908202</v>
      </c>
      <c r="M126" s="160">
        <v>455287.39</v>
      </c>
      <c r="N126" s="167">
        <v>2016</v>
      </c>
      <c r="O126" s="167">
        <f>IFERROR(('General Input Sheet'!$G$38/(VLOOKUP(N126,'General Input Sheet'!$E$38:$G$44,3,FALSE))),1)</f>
        <v>1</v>
      </c>
      <c r="P126" s="186">
        <f t="shared" si="15"/>
        <v>605787.39</v>
      </c>
      <c r="Q126" s="89" t="str">
        <f t="shared" si="24"/>
        <v>y</v>
      </c>
      <c r="R126" s="89" t="str">
        <f t="shared" si="24"/>
        <v>y</v>
      </c>
      <c r="S126" s="89" t="str">
        <f t="shared" si="24"/>
        <v>y</v>
      </c>
      <c r="T126" s="89" t="str">
        <f t="shared" si="24"/>
        <v>y</v>
      </c>
      <c r="U126" s="254" t="str">
        <f t="shared" si="24"/>
        <v>y</v>
      </c>
      <c r="V126" s="308"/>
      <c r="W126" s="309" cm="1">
        <f t="array" ref="W126">_xlfn.IFS(AND(Q126="y",$D126="Local"), 1, AND(Q126="y",$D126&lt;&gt;"Local"),1.49009696454663%, Q126="","")</f>
        <v>1.49009696454663E-2</v>
      </c>
      <c r="X126" s="272" cm="1">
        <f t="array" ref="X126">_xlfn.IFS(AND(R126="y",$D126="Local"), 1, AND(R126="y",$D126&lt;&gt;"Local"),20.7557554582461%, R126="","")</f>
        <v>0.207557554582461</v>
      </c>
      <c r="Y126" s="272" cm="1">
        <f t="array" ref="Y126">_xlfn.IFS(AND(S126="y",$D126="Local"), 1, AND(S126="y",$D126&lt;&gt;"Local"),30.3499104327336%, S126="","")</f>
        <v>0.30349910432733601</v>
      </c>
      <c r="Z126" s="272" cm="1">
        <f t="array" ref="Z126">_xlfn.IFS(AND(T126="y",$D126="Local"), 1, AND(T126="y",$D126&lt;&gt;"Local"),29.0043833288201%, T126="","")</f>
        <v>0.29004383328820099</v>
      </c>
      <c r="AA126" s="272" cm="1">
        <f t="array" ref="AA126">_xlfn.IFS(AND(U126="y",$D126="Local"), 1, AND(U126="y",$D126&lt;&gt;"Local"),18.3998538156536%, U126="","")</f>
        <v>0.183998538156536</v>
      </c>
      <c r="AB126" s="68">
        <f t="shared" si="16"/>
        <v>1.0000000000000004</v>
      </c>
      <c r="AD126" s="306">
        <f t="shared" si="17"/>
        <v>9026.8195099962522</v>
      </c>
      <c r="AE126" s="242">
        <f t="shared" si="18"/>
        <v>125735.74926529154</v>
      </c>
      <c r="AF126" s="242">
        <f t="shared" si="19"/>
        <v>183855.93027779451</v>
      </c>
      <c r="AG126" s="242">
        <f t="shared" si="20"/>
        <v>175704.89675325435</v>
      </c>
      <c r="AH126" s="352">
        <f t="shared" si="21"/>
        <v>111463.99419366331</v>
      </c>
    </row>
    <row r="127" spans="2:34">
      <c r="B127" s="166" t="s">
        <v>255</v>
      </c>
      <c r="C127" s="150"/>
      <c r="D127" s="150" t="s">
        <v>118</v>
      </c>
      <c r="E127" s="150" t="s">
        <v>140</v>
      </c>
      <c r="F127" s="150" t="s">
        <v>678</v>
      </c>
      <c r="G127" s="146"/>
      <c r="H127" s="155"/>
      <c r="I127" s="135">
        <f t="shared" si="22"/>
        <v>0</v>
      </c>
      <c r="J127" s="147"/>
      <c r="K127" s="155">
        <v>401.97035212544898</v>
      </c>
      <c r="L127" s="88">
        <f t="shared" si="23"/>
        <v>443.3162770780329</v>
      </c>
      <c r="M127" s="160">
        <v>178200</v>
      </c>
      <c r="N127" s="167">
        <v>2016</v>
      </c>
      <c r="O127" s="167">
        <f>IFERROR(('General Input Sheet'!$G$38/(VLOOKUP(N127,'General Input Sheet'!$E$38:$G$44,3,FALSE))),1)</f>
        <v>1</v>
      </c>
      <c r="P127" s="189">
        <f t="shared" si="15"/>
        <v>178200</v>
      </c>
      <c r="Q127" s="89" t="str">
        <f t="shared" si="24"/>
        <v>y</v>
      </c>
      <c r="R127" s="89" t="str">
        <f t="shared" si="24"/>
        <v>y</v>
      </c>
      <c r="S127" s="89" t="str">
        <f t="shared" si="24"/>
        <v>y</v>
      </c>
      <c r="T127" s="89" t="str">
        <f t="shared" si="24"/>
        <v>y</v>
      </c>
      <c r="U127" s="254" t="str">
        <f t="shared" si="24"/>
        <v>y</v>
      </c>
      <c r="V127" s="308"/>
      <c r="W127" s="309" cm="1">
        <f t="array" ref="W127">_xlfn.IFS(AND(Q127="y",$D127="Local"), 1, AND(Q127="y",$D127&lt;&gt;"Local"),1.49009696454663%, Q127="","")</f>
        <v>1.49009696454663E-2</v>
      </c>
      <c r="X127" s="272" cm="1">
        <f t="array" ref="X127">_xlfn.IFS(AND(R127="y",$D127="Local"), 1, AND(R127="y",$D127&lt;&gt;"Local"),20.7557554582461%, R127="","")</f>
        <v>0.207557554582461</v>
      </c>
      <c r="Y127" s="272" cm="1">
        <f t="array" ref="Y127">_xlfn.IFS(AND(S127="y",$D127="Local"), 1, AND(S127="y",$D127&lt;&gt;"Local"),30.3499104327336%, S127="","")</f>
        <v>0.30349910432733601</v>
      </c>
      <c r="Z127" s="272" cm="1">
        <f t="array" ref="Z127">_xlfn.IFS(AND(T127="y",$D127="Local"), 1, AND(T127="y",$D127&lt;&gt;"Local"),29.0043833288201%, T127="","")</f>
        <v>0.29004383328820099</v>
      </c>
      <c r="AA127" s="272" cm="1">
        <f t="array" ref="AA127">_xlfn.IFS(AND(U127="y",$D127="Local"), 1, AND(U127="y",$D127&lt;&gt;"Local"),18.3998538156536%, U127="","")</f>
        <v>0.183998538156536</v>
      </c>
      <c r="AB127" s="68">
        <f t="shared" si="16"/>
        <v>1.0000000000000004</v>
      </c>
      <c r="AD127" s="306">
        <f t="shared" si="17"/>
        <v>2655.3527908220935</v>
      </c>
      <c r="AE127" s="242">
        <f t="shared" si="18"/>
        <v>36986.756226594538</v>
      </c>
      <c r="AF127" s="242">
        <f t="shared" si="19"/>
        <v>54083.540391131261</v>
      </c>
      <c r="AG127" s="242">
        <f t="shared" si="20"/>
        <v>51685.811091957396</v>
      </c>
      <c r="AH127" s="352">
        <f t="shared" si="21"/>
        <v>32788.539499494698</v>
      </c>
    </row>
    <row r="128" spans="2:34">
      <c r="B128" s="166" t="s">
        <v>256</v>
      </c>
      <c r="C128" s="150"/>
      <c r="D128" s="150" t="s">
        <v>118</v>
      </c>
      <c r="E128" s="150" t="s">
        <v>140</v>
      </c>
      <c r="F128" s="150" t="s">
        <v>679</v>
      </c>
      <c r="G128" s="146"/>
      <c r="H128" s="155"/>
      <c r="I128" s="135">
        <f t="shared" si="22"/>
        <v>0</v>
      </c>
      <c r="J128" s="147"/>
      <c r="K128" s="155">
        <v>401.20461901231897</v>
      </c>
      <c r="L128" s="88">
        <f t="shared" si="23"/>
        <v>444.16238386958446</v>
      </c>
      <c r="M128" s="160">
        <v>178200</v>
      </c>
      <c r="N128" s="167">
        <v>2016</v>
      </c>
      <c r="O128" s="167">
        <f>IFERROR(('General Input Sheet'!$G$38/(VLOOKUP(N128,'General Input Sheet'!$E$38:$G$44,3,FALSE))),1)</f>
        <v>1</v>
      </c>
      <c r="P128" s="189">
        <f t="shared" si="15"/>
        <v>178200</v>
      </c>
      <c r="Q128" s="89" t="str">
        <f t="shared" si="24"/>
        <v>y</v>
      </c>
      <c r="R128" s="89" t="str">
        <f t="shared" si="24"/>
        <v>y</v>
      </c>
      <c r="S128" s="89" t="str">
        <f t="shared" si="24"/>
        <v>y</v>
      </c>
      <c r="T128" s="89" t="str">
        <f t="shared" si="24"/>
        <v>y</v>
      </c>
      <c r="U128" s="254" t="str">
        <f t="shared" si="24"/>
        <v>y</v>
      </c>
      <c r="V128" s="308"/>
      <c r="W128" s="309" cm="1">
        <f t="array" ref="W128">_xlfn.IFS(AND(Q128="y",$D128="Local"), 1, AND(Q128="y",$D128&lt;&gt;"Local"),1.49009696454663%, Q128="","")</f>
        <v>1.49009696454663E-2</v>
      </c>
      <c r="X128" s="272" cm="1">
        <f t="array" ref="X128">_xlfn.IFS(AND(R128="y",$D128="Local"), 1, AND(R128="y",$D128&lt;&gt;"Local"),20.7557554582461%, R128="","")</f>
        <v>0.207557554582461</v>
      </c>
      <c r="Y128" s="272" cm="1">
        <f t="array" ref="Y128">_xlfn.IFS(AND(S128="y",$D128="Local"), 1, AND(S128="y",$D128&lt;&gt;"Local"),30.3499104327336%, S128="","")</f>
        <v>0.30349910432733601</v>
      </c>
      <c r="Z128" s="272" cm="1">
        <f t="array" ref="Z128">_xlfn.IFS(AND(T128="y",$D128="Local"), 1, AND(T128="y",$D128&lt;&gt;"Local"),29.0043833288201%, T128="","")</f>
        <v>0.29004383328820099</v>
      </c>
      <c r="AA128" s="272" cm="1">
        <f t="array" ref="AA128">_xlfn.IFS(AND(U128="y",$D128="Local"), 1, AND(U128="y",$D128&lt;&gt;"Local"),18.3998538156536%, U128="","")</f>
        <v>0.183998538156536</v>
      </c>
      <c r="AB128" s="68">
        <f t="shared" si="16"/>
        <v>1.0000000000000004</v>
      </c>
      <c r="AD128" s="306">
        <f t="shared" si="17"/>
        <v>2655.3527908220935</v>
      </c>
      <c r="AE128" s="242">
        <f t="shared" si="18"/>
        <v>36986.756226594538</v>
      </c>
      <c r="AF128" s="242">
        <f t="shared" si="19"/>
        <v>54083.540391131261</v>
      </c>
      <c r="AG128" s="242">
        <f t="shared" si="20"/>
        <v>51685.811091957396</v>
      </c>
      <c r="AH128" s="352">
        <f t="shared" si="21"/>
        <v>32788.539499494698</v>
      </c>
    </row>
    <row r="129" spans="2:34">
      <c r="B129" s="166" t="s">
        <v>257</v>
      </c>
      <c r="C129" s="150"/>
      <c r="D129" s="150" t="s">
        <v>118</v>
      </c>
      <c r="E129" s="150" t="s">
        <v>140</v>
      </c>
      <c r="F129" s="150" t="s">
        <v>680</v>
      </c>
      <c r="G129" s="146"/>
      <c r="H129" s="155"/>
      <c r="I129" s="135">
        <f t="shared" si="22"/>
        <v>0</v>
      </c>
      <c r="J129" s="147"/>
      <c r="K129" s="155">
        <v>400.46600627536702</v>
      </c>
      <c r="L129" s="88">
        <f t="shared" si="23"/>
        <v>384.30228181259366</v>
      </c>
      <c r="M129" s="160">
        <v>153900</v>
      </c>
      <c r="N129" s="167">
        <v>2016</v>
      </c>
      <c r="O129" s="167">
        <f>IFERROR(('General Input Sheet'!$G$38/(VLOOKUP(N129,'General Input Sheet'!$E$38:$G$44,3,FALSE))),1)</f>
        <v>1</v>
      </c>
      <c r="P129" s="189">
        <f t="shared" si="15"/>
        <v>153900</v>
      </c>
      <c r="Q129" s="89" t="str">
        <f t="shared" si="24"/>
        <v>y</v>
      </c>
      <c r="R129" s="89" t="str">
        <f t="shared" si="24"/>
        <v>y</v>
      </c>
      <c r="S129" s="89" t="str">
        <f t="shared" si="24"/>
        <v>y</v>
      </c>
      <c r="T129" s="89" t="str">
        <f t="shared" si="24"/>
        <v>y</v>
      </c>
      <c r="U129" s="254" t="str">
        <f t="shared" si="24"/>
        <v>y</v>
      </c>
      <c r="V129" s="308"/>
      <c r="W129" s="309" cm="1">
        <f t="array" ref="W129">_xlfn.IFS(AND(Q129="y",$D129="Local"), 1, AND(Q129="y",$D129&lt;&gt;"Local"),1.49009696454663%, Q129="","")</f>
        <v>1.49009696454663E-2</v>
      </c>
      <c r="X129" s="272" cm="1">
        <f t="array" ref="X129">_xlfn.IFS(AND(R129="y",$D129="Local"), 1, AND(R129="y",$D129&lt;&gt;"Local"),20.7557554582461%, R129="","")</f>
        <v>0.207557554582461</v>
      </c>
      <c r="Y129" s="272" cm="1">
        <f t="array" ref="Y129">_xlfn.IFS(AND(S129="y",$D129="Local"), 1, AND(S129="y",$D129&lt;&gt;"Local"),30.3499104327336%, S129="","")</f>
        <v>0.30349910432733601</v>
      </c>
      <c r="Z129" s="272" cm="1">
        <f t="array" ref="Z129">_xlfn.IFS(AND(T129="y",$D129="Local"), 1, AND(T129="y",$D129&lt;&gt;"Local"),29.0043833288201%, T129="","")</f>
        <v>0.29004383328820099</v>
      </c>
      <c r="AA129" s="272" cm="1">
        <f t="array" ref="AA129">_xlfn.IFS(AND(U129="y",$D129="Local"), 1, AND(U129="y",$D129&lt;&gt;"Local"),18.3998538156536%, U129="","")</f>
        <v>0.183998538156536</v>
      </c>
      <c r="AB129" s="68">
        <f t="shared" si="16"/>
        <v>1.0000000000000004</v>
      </c>
      <c r="AD129" s="306">
        <f t="shared" si="17"/>
        <v>2293.2592284372627</v>
      </c>
      <c r="AE129" s="242">
        <f t="shared" si="18"/>
        <v>31943.107650240734</v>
      </c>
      <c r="AF129" s="242">
        <f t="shared" si="19"/>
        <v>46708.512155976998</v>
      </c>
      <c r="AG129" s="242">
        <f t="shared" si="20"/>
        <v>44637.745943054113</v>
      </c>
      <c r="AH129" s="352">
        <f t="shared" si="21"/>
        <v>28317.375022290878</v>
      </c>
    </row>
    <row r="130" spans="2:34">
      <c r="B130" s="166" t="s">
        <v>258</v>
      </c>
      <c r="C130" s="150"/>
      <c r="D130" s="150" t="s">
        <v>118</v>
      </c>
      <c r="E130" s="150" t="s">
        <v>140</v>
      </c>
      <c r="F130" s="150" t="s">
        <v>681</v>
      </c>
      <c r="G130" s="146"/>
      <c r="H130" s="155"/>
      <c r="I130" s="135">
        <f t="shared" si="22"/>
        <v>0</v>
      </c>
      <c r="J130" s="147"/>
      <c r="K130" s="155">
        <v>204.83322587055599</v>
      </c>
      <c r="L130" s="88">
        <f t="shared" si="23"/>
        <v>477.38934728194528</v>
      </c>
      <c r="M130" s="160">
        <v>97785.2</v>
      </c>
      <c r="N130" s="167">
        <v>2016</v>
      </c>
      <c r="O130" s="167">
        <f>IFERROR(('General Input Sheet'!$G$38/(VLOOKUP(N130,'General Input Sheet'!$E$38:$G$44,3,FALSE))),1)</f>
        <v>1</v>
      </c>
      <c r="P130" s="186">
        <f t="shared" si="15"/>
        <v>97785.2</v>
      </c>
      <c r="Q130" s="89" t="str">
        <f t="shared" si="24"/>
        <v>y</v>
      </c>
      <c r="R130" s="89" t="str">
        <f t="shared" si="24"/>
        <v>y</v>
      </c>
      <c r="S130" s="89" t="str">
        <f t="shared" si="24"/>
        <v>y</v>
      </c>
      <c r="T130" s="89" t="str">
        <f t="shared" si="24"/>
        <v>y</v>
      </c>
      <c r="U130" s="254" t="str">
        <f t="shared" si="24"/>
        <v>y</v>
      </c>
      <c r="V130" s="308"/>
      <c r="W130" s="309" cm="1">
        <f t="array" ref="W130">_xlfn.IFS(AND(Q130="y",$D130="Local"), 1, AND(Q130="y",$D130&lt;&gt;"Local"),1.49009696454663%, Q130="","")</f>
        <v>1.49009696454663E-2</v>
      </c>
      <c r="X130" s="272" cm="1">
        <f t="array" ref="X130">_xlfn.IFS(AND(R130="y",$D130="Local"), 1, AND(R130="y",$D130&lt;&gt;"Local"),20.7557554582461%, R130="","")</f>
        <v>0.207557554582461</v>
      </c>
      <c r="Y130" s="272" cm="1">
        <f t="array" ref="Y130">_xlfn.IFS(AND(S130="y",$D130="Local"), 1, AND(S130="y",$D130&lt;&gt;"Local"),30.3499104327336%, S130="","")</f>
        <v>0.30349910432733601</v>
      </c>
      <c r="Z130" s="272" cm="1">
        <f t="array" ref="Z130">_xlfn.IFS(AND(T130="y",$D130="Local"), 1, AND(T130="y",$D130&lt;&gt;"Local"),29.0043833288201%, T130="","")</f>
        <v>0.29004383328820099</v>
      </c>
      <c r="AA130" s="272" cm="1">
        <f t="array" ref="AA130">_xlfn.IFS(AND(U130="y",$D130="Local"), 1, AND(U130="y",$D130&lt;&gt;"Local"),18.3998538156536%, U130="","")</f>
        <v>0.183998538156536</v>
      </c>
      <c r="AB130" s="68">
        <f t="shared" si="16"/>
        <v>1.0000000000000004</v>
      </c>
      <c r="AD130" s="306">
        <f t="shared" si="17"/>
        <v>1457.0942969758505</v>
      </c>
      <c r="AE130" s="242">
        <f t="shared" si="18"/>
        <v>20296.056986356856</v>
      </c>
      <c r="AF130" s="242">
        <f t="shared" si="19"/>
        <v>29677.720616469407</v>
      </c>
      <c r="AG130" s="242">
        <f t="shared" si="20"/>
        <v>28361.994246853381</v>
      </c>
      <c r="AH130" s="352">
        <f t="shared" si="21"/>
        <v>17992.333853344495</v>
      </c>
    </row>
    <row r="131" spans="2:34">
      <c r="B131" s="166" t="s">
        <v>259</v>
      </c>
      <c r="C131" s="150"/>
      <c r="D131" s="150" t="s">
        <v>118</v>
      </c>
      <c r="E131" s="150" t="s">
        <v>140</v>
      </c>
      <c r="F131" s="150" t="s">
        <v>682</v>
      </c>
      <c r="G131" s="146"/>
      <c r="H131" s="155"/>
      <c r="I131" s="135">
        <f t="shared" si="22"/>
        <v>0</v>
      </c>
      <c r="J131" s="147"/>
      <c r="K131" s="155">
        <v>207.22068116802899</v>
      </c>
      <c r="L131" s="88">
        <f t="shared" si="23"/>
        <v>477.37194686561071</v>
      </c>
      <c r="M131" s="160">
        <v>98921.34</v>
      </c>
      <c r="N131" s="167">
        <v>2016</v>
      </c>
      <c r="O131" s="167">
        <f>IFERROR(('General Input Sheet'!$G$38/(VLOOKUP(N131,'General Input Sheet'!$E$38:$G$44,3,FALSE))),1)</f>
        <v>1</v>
      </c>
      <c r="P131" s="189">
        <f t="shared" si="15"/>
        <v>98921.34</v>
      </c>
      <c r="Q131" s="89" t="str">
        <f t="shared" si="24"/>
        <v>y</v>
      </c>
      <c r="R131" s="89" t="str">
        <f t="shared" si="24"/>
        <v>y</v>
      </c>
      <c r="S131" s="89" t="str">
        <f t="shared" si="24"/>
        <v>y</v>
      </c>
      <c r="T131" s="89" t="str">
        <f t="shared" si="24"/>
        <v>y</v>
      </c>
      <c r="U131" s="254" t="str">
        <f t="shared" si="24"/>
        <v>y</v>
      </c>
      <c r="V131" s="308"/>
      <c r="W131" s="309" cm="1">
        <f t="array" ref="W131">_xlfn.IFS(AND(Q131="y",$D131="Local"), 1, AND(Q131="y",$D131&lt;&gt;"Local"),1.49009696454663%, Q131="","")</f>
        <v>1.49009696454663E-2</v>
      </c>
      <c r="X131" s="272" cm="1">
        <f t="array" ref="X131">_xlfn.IFS(AND(R131="y",$D131="Local"), 1, AND(R131="y",$D131&lt;&gt;"Local"),20.7557554582461%, R131="","")</f>
        <v>0.207557554582461</v>
      </c>
      <c r="Y131" s="272" cm="1">
        <f t="array" ref="Y131">_xlfn.IFS(AND(S131="y",$D131="Local"), 1, AND(S131="y",$D131&lt;&gt;"Local"),30.3499104327336%, S131="","")</f>
        <v>0.30349910432733601</v>
      </c>
      <c r="Z131" s="272" cm="1">
        <f t="array" ref="Z131">_xlfn.IFS(AND(T131="y",$D131="Local"), 1, AND(T131="y",$D131&lt;&gt;"Local"),29.0043833288201%, T131="","")</f>
        <v>0.29004383328820099</v>
      </c>
      <c r="AA131" s="272" cm="1">
        <f t="array" ref="AA131">_xlfn.IFS(AND(U131="y",$D131="Local"), 1, AND(U131="y",$D131&lt;&gt;"Local"),18.3998538156536%, U131="","")</f>
        <v>0.183998538156536</v>
      </c>
      <c r="AB131" s="68">
        <f t="shared" si="16"/>
        <v>1.0000000000000004</v>
      </c>
      <c r="AD131" s="306">
        <f t="shared" si="17"/>
        <v>1474.0238846288505</v>
      </c>
      <c r="AE131" s="242">
        <f t="shared" si="18"/>
        <v>20531.871426420174</v>
      </c>
      <c r="AF131" s="242">
        <f t="shared" si="19"/>
        <v>30022.538088859867</v>
      </c>
      <c r="AG131" s="242">
        <f t="shared" si="20"/>
        <v>28691.524647605438</v>
      </c>
      <c r="AH131" s="352">
        <f t="shared" si="21"/>
        <v>18201.381952485663</v>
      </c>
    </row>
    <row r="132" spans="2:34">
      <c r="B132" s="166" t="s">
        <v>260</v>
      </c>
      <c r="C132" s="150"/>
      <c r="D132" s="150" t="s">
        <v>116</v>
      </c>
      <c r="E132" s="150" t="s">
        <v>142</v>
      </c>
      <c r="F132" s="150" t="s">
        <v>683</v>
      </c>
      <c r="G132" s="146"/>
      <c r="H132" s="155"/>
      <c r="I132" s="135">
        <f t="shared" si="22"/>
        <v>0</v>
      </c>
      <c r="J132" s="147"/>
      <c r="K132" s="155">
        <v>403.18141429435201</v>
      </c>
      <c r="L132" s="88">
        <f t="shared" si="23"/>
        <v>387.52031830002113</v>
      </c>
      <c r="M132" s="160">
        <v>156240.99</v>
      </c>
      <c r="N132" s="167">
        <v>2016</v>
      </c>
      <c r="O132" s="167">
        <f>IFERROR(('General Input Sheet'!$G$38/(VLOOKUP(N132,'General Input Sheet'!$E$38:$G$44,3,FALSE))),1)</f>
        <v>1</v>
      </c>
      <c r="P132" s="186">
        <f t="shared" si="15"/>
        <v>156240.99</v>
      </c>
      <c r="Q132" s="89" t="str">
        <f t="shared" ref="Q132:U182" si="25">IF(OR(Q$9=$E132,$D132="Metropolitan",$D132="District"),"y","")</f>
        <v/>
      </c>
      <c r="R132" s="89" t="str">
        <f t="shared" si="25"/>
        <v/>
      </c>
      <c r="S132" s="89" t="str">
        <f t="shared" si="25"/>
        <v/>
      </c>
      <c r="T132" s="89" t="str">
        <f t="shared" si="25"/>
        <v>y</v>
      </c>
      <c r="U132" s="254" t="str">
        <f t="shared" si="25"/>
        <v/>
      </c>
      <c r="V132" s="308"/>
      <c r="W132" s="309" t="str" cm="1">
        <f t="array" ref="W132">_xlfn.IFS(AND(Q132="y",$D132="Local"), 1, AND(Q132="y",$D132&lt;&gt;"Local"),1.49009696454663%, Q132="","")</f>
        <v/>
      </c>
      <c r="X132" s="272" t="str" cm="1">
        <f t="array" ref="X132">_xlfn.IFS(AND(R132="y",$D132="Local"), 1, AND(R132="y",$D132&lt;&gt;"Local"),20.7557554582461%, R132="","")</f>
        <v/>
      </c>
      <c r="Y132" s="272" t="str" cm="1">
        <f t="array" ref="Y132">_xlfn.IFS(AND(S132="y",$D132="Local"), 1, AND(S132="y",$D132&lt;&gt;"Local"),30.3499104327336%, S132="","")</f>
        <v/>
      </c>
      <c r="Z132" s="272" cm="1">
        <f t="array" ref="Z132">_xlfn.IFS(AND(T132="y",$D132="Local"), 1, AND(T132="y",$D132&lt;&gt;"Local"),29.0043833288201%, T132="","")</f>
        <v>1</v>
      </c>
      <c r="AA132" s="272" t="str" cm="1">
        <f t="array" ref="AA132">_xlfn.IFS(AND(U132="y",$D132="Local"), 1, AND(U132="y",$D132&lt;&gt;"Local"),18.3998538156536%, U132="","")</f>
        <v/>
      </c>
      <c r="AB132" s="68">
        <f t="shared" si="16"/>
        <v>1</v>
      </c>
      <c r="AD132" s="306" t="str">
        <f t="shared" si="17"/>
        <v/>
      </c>
      <c r="AE132" s="242" t="str">
        <f t="shared" si="18"/>
        <v/>
      </c>
      <c r="AF132" s="242" t="str">
        <f t="shared" si="19"/>
        <v/>
      </c>
      <c r="AG132" s="242">
        <f t="shared" si="20"/>
        <v>156240.99</v>
      </c>
      <c r="AH132" s="352" t="str">
        <f t="shared" si="21"/>
        <v/>
      </c>
    </row>
    <row r="133" spans="2:34">
      <c r="B133" s="166" t="s">
        <v>261</v>
      </c>
      <c r="C133" s="150"/>
      <c r="D133" s="150" t="s">
        <v>116</v>
      </c>
      <c r="E133" s="150" t="s">
        <v>143</v>
      </c>
      <c r="F133" s="150" t="s">
        <v>684</v>
      </c>
      <c r="G133" s="146"/>
      <c r="H133" s="155"/>
      <c r="I133" s="135">
        <f t="shared" si="22"/>
        <v>0</v>
      </c>
      <c r="J133" s="147"/>
      <c r="K133" s="155">
        <v>460.51478014630499</v>
      </c>
      <c r="L133" s="88">
        <f t="shared" si="23"/>
        <v>767.35452418645968</v>
      </c>
      <c r="M133" s="160">
        <v>353378.1</v>
      </c>
      <c r="N133" s="167">
        <v>2016</v>
      </c>
      <c r="O133" s="167">
        <f>IFERROR(('General Input Sheet'!$G$38/(VLOOKUP(N133,'General Input Sheet'!$E$38:$G$44,3,FALSE))),1)</f>
        <v>1</v>
      </c>
      <c r="P133" s="186">
        <f t="shared" si="15"/>
        <v>353378.1</v>
      </c>
      <c r="Q133" s="89" t="str">
        <f t="shared" si="25"/>
        <v/>
      </c>
      <c r="R133" s="89" t="str">
        <f t="shared" si="25"/>
        <v/>
      </c>
      <c r="S133" s="89" t="str">
        <f t="shared" si="25"/>
        <v/>
      </c>
      <c r="T133" s="89" t="str">
        <f t="shared" si="25"/>
        <v/>
      </c>
      <c r="U133" s="254" t="str">
        <f t="shared" si="25"/>
        <v>y</v>
      </c>
      <c r="V133" s="308"/>
      <c r="W133" s="309" t="str" cm="1">
        <f t="array" ref="W133">_xlfn.IFS(AND(Q133="y",$D133="Local"), 1, AND(Q133="y",$D133&lt;&gt;"Local"),1.49009696454663%, Q133="","")</f>
        <v/>
      </c>
      <c r="X133" s="272" t="str" cm="1">
        <f t="array" ref="X133">_xlfn.IFS(AND(R133="y",$D133="Local"), 1, AND(R133="y",$D133&lt;&gt;"Local"),20.7557554582461%, R133="","")</f>
        <v/>
      </c>
      <c r="Y133" s="272" t="str" cm="1">
        <f t="array" ref="Y133">_xlfn.IFS(AND(S133="y",$D133="Local"), 1, AND(S133="y",$D133&lt;&gt;"Local"),30.3499104327336%, S133="","")</f>
        <v/>
      </c>
      <c r="Z133" s="272" t="str" cm="1">
        <f t="array" ref="Z133">_xlfn.IFS(AND(T133="y",$D133="Local"), 1, AND(T133="y",$D133&lt;&gt;"Local"),29.0043833288201%, T133="","")</f>
        <v/>
      </c>
      <c r="AA133" s="272" cm="1">
        <f t="array" ref="AA133">_xlfn.IFS(AND(U133="y",$D133="Local"), 1, AND(U133="y",$D133&lt;&gt;"Local"),18.3998538156536%, U133="","")</f>
        <v>1</v>
      </c>
      <c r="AB133" s="68">
        <f t="shared" si="16"/>
        <v>1</v>
      </c>
      <c r="AD133" s="306" t="str">
        <f t="shared" si="17"/>
        <v/>
      </c>
      <c r="AE133" s="242" t="str">
        <f t="shared" si="18"/>
        <v/>
      </c>
      <c r="AF133" s="242" t="str">
        <f t="shared" si="19"/>
        <v/>
      </c>
      <c r="AG133" s="242" t="str">
        <f t="shared" si="20"/>
        <v/>
      </c>
      <c r="AH133" s="352">
        <f t="shared" si="21"/>
        <v>353378.1</v>
      </c>
    </row>
    <row r="134" spans="2:34">
      <c r="B134" s="166" t="s">
        <v>262</v>
      </c>
      <c r="C134" s="150"/>
      <c r="D134" s="150" t="s">
        <v>118</v>
      </c>
      <c r="E134" s="150" t="s">
        <v>142</v>
      </c>
      <c r="F134" s="150" t="s">
        <v>685</v>
      </c>
      <c r="G134" s="146"/>
      <c r="H134" s="155"/>
      <c r="I134" s="135">
        <f t="shared" si="22"/>
        <v>0</v>
      </c>
      <c r="J134" s="147"/>
      <c r="K134" s="155">
        <v>612.29934473951198</v>
      </c>
      <c r="L134" s="88">
        <f t="shared" si="23"/>
        <v>173.0744951966</v>
      </c>
      <c r="M134" s="160">
        <v>105973.4</v>
      </c>
      <c r="N134" s="167">
        <v>2016</v>
      </c>
      <c r="O134" s="167">
        <f>IFERROR(('General Input Sheet'!$G$38/(VLOOKUP(N134,'General Input Sheet'!$E$38:$G$44,3,FALSE))),1)</f>
        <v>1</v>
      </c>
      <c r="P134" s="186">
        <f t="shared" si="15"/>
        <v>105973.4</v>
      </c>
      <c r="Q134" s="89" t="str">
        <f t="shared" si="25"/>
        <v>y</v>
      </c>
      <c r="R134" s="89" t="str">
        <f t="shared" si="25"/>
        <v>y</v>
      </c>
      <c r="S134" s="89" t="str">
        <f t="shared" si="25"/>
        <v>y</v>
      </c>
      <c r="T134" s="89" t="str">
        <f t="shared" si="25"/>
        <v>y</v>
      </c>
      <c r="U134" s="254" t="str">
        <f t="shared" si="25"/>
        <v>y</v>
      </c>
      <c r="V134" s="308"/>
      <c r="W134" s="309" cm="1">
        <f t="array" ref="W134">_xlfn.IFS(AND(Q134="y",$D134="Local"), 1, AND(Q134="y",$D134&lt;&gt;"Local"),1.49009696454663%, Q134="","")</f>
        <v>1.49009696454663E-2</v>
      </c>
      <c r="X134" s="272" cm="1">
        <f t="array" ref="X134">_xlfn.IFS(AND(R134="y",$D134="Local"), 1, AND(R134="y",$D134&lt;&gt;"Local"),20.7557554582461%, R134="","")</f>
        <v>0.207557554582461</v>
      </c>
      <c r="Y134" s="272" cm="1">
        <f t="array" ref="Y134">_xlfn.IFS(AND(S134="y",$D134="Local"), 1, AND(S134="y",$D134&lt;&gt;"Local"),30.3499104327336%, S134="","")</f>
        <v>0.30349910432733601</v>
      </c>
      <c r="Z134" s="272" cm="1">
        <f t="array" ref="Z134">_xlfn.IFS(AND(T134="y",$D134="Local"), 1, AND(T134="y",$D134&lt;&gt;"Local"),29.0043833288201%, T134="","")</f>
        <v>0.29004383328820099</v>
      </c>
      <c r="AA134" s="272" cm="1">
        <f t="array" ref="AA134">_xlfn.IFS(AND(U134="y",$D134="Local"), 1, AND(U134="y",$D134&lt;&gt;"Local"),18.3998538156536%, U134="","")</f>
        <v>0.183998538156536</v>
      </c>
      <c r="AB134" s="68">
        <f t="shared" si="16"/>
        <v>1.0000000000000004</v>
      </c>
      <c r="AD134" s="306">
        <f t="shared" si="17"/>
        <v>1579.1064166268577</v>
      </c>
      <c r="AE134" s="242">
        <f t="shared" si="18"/>
        <v>21995.579754788963</v>
      </c>
      <c r="AF134" s="242">
        <f t="shared" si="19"/>
        <v>32162.831982522497</v>
      </c>
      <c r="AG134" s="242">
        <f t="shared" si="20"/>
        <v>30736.931162583827</v>
      </c>
      <c r="AH134" s="352">
        <f t="shared" si="21"/>
        <v>19498.95068347784</v>
      </c>
    </row>
    <row r="135" spans="2:34">
      <c r="B135" s="166" t="s">
        <v>263</v>
      </c>
      <c r="C135" s="150"/>
      <c r="D135" s="150" t="s">
        <v>118</v>
      </c>
      <c r="E135" s="150" t="s">
        <v>140</v>
      </c>
      <c r="F135" s="150" t="s">
        <v>686</v>
      </c>
      <c r="G135" s="146"/>
      <c r="H135" s="155"/>
      <c r="I135" s="135">
        <f t="shared" si="22"/>
        <v>0</v>
      </c>
      <c r="J135" s="147"/>
      <c r="K135" s="155">
        <v>150.80851984577799</v>
      </c>
      <c r="L135" s="88">
        <f t="shared" si="23"/>
        <v>477.45452361467375</v>
      </c>
      <c r="M135" s="160">
        <v>72004.210000000006</v>
      </c>
      <c r="N135" s="167">
        <v>2016</v>
      </c>
      <c r="O135" s="167">
        <f>IFERROR(('General Input Sheet'!$G$38/(VLOOKUP(N135,'General Input Sheet'!$E$38:$G$44,3,FALSE))),1)</f>
        <v>1</v>
      </c>
      <c r="P135" s="186">
        <f t="shared" si="15"/>
        <v>72004.210000000006</v>
      </c>
      <c r="Q135" s="89" t="str">
        <f t="shared" si="25"/>
        <v>y</v>
      </c>
      <c r="R135" s="89" t="str">
        <f t="shared" si="25"/>
        <v>y</v>
      </c>
      <c r="S135" s="89" t="str">
        <f t="shared" si="25"/>
        <v>y</v>
      </c>
      <c r="T135" s="89" t="str">
        <f t="shared" si="25"/>
        <v>y</v>
      </c>
      <c r="U135" s="254" t="str">
        <f t="shared" si="25"/>
        <v>y</v>
      </c>
      <c r="V135" s="308"/>
      <c r="W135" s="309" cm="1">
        <f t="array" ref="W135">_xlfn.IFS(AND(Q135="y",$D135="Local"), 1, AND(Q135="y",$D135&lt;&gt;"Local"),1.49009696454663%, Q135="","")</f>
        <v>1.49009696454663E-2</v>
      </c>
      <c r="X135" s="272" cm="1">
        <f t="array" ref="X135">_xlfn.IFS(AND(R135="y",$D135="Local"), 1, AND(R135="y",$D135&lt;&gt;"Local"),20.7557554582461%, R135="","")</f>
        <v>0.207557554582461</v>
      </c>
      <c r="Y135" s="272" cm="1">
        <f t="array" ref="Y135">_xlfn.IFS(AND(S135="y",$D135="Local"), 1, AND(S135="y",$D135&lt;&gt;"Local"),30.3499104327336%, S135="","")</f>
        <v>0.30349910432733601</v>
      </c>
      <c r="Z135" s="272" cm="1">
        <f t="array" ref="Z135">_xlfn.IFS(AND(T135="y",$D135="Local"), 1, AND(T135="y",$D135&lt;&gt;"Local"),29.0043833288201%, T135="","")</f>
        <v>0.29004383328820099</v>
      </c>
      <c r="AA135" s="272" cm="1">
        <f t="array" ref="AA135">_xlfn.IFS(AND(U135="y",$D135="Local"), 1, AND(U135="y",$D135&lt;&gt;"Local"),18.3998538156536%, U135="","")</f>
        <v>0.183998538156536</v>
      </c>
      <c r="AB135" s="68">
        <f t="shared" si="16"/>
        <v>1.0000000000000004</v>
      </c>
      <c r="AD135" s="306">
        <f t="shared" si="17"/>
        <v>1072.9325475557807</v>
      </c>
      <c r="AE135" s="242">
        <f t="shared" si="18"/>
        <v>14945.01774724198</v>
      </c>
      <c r="AF135" s="242">
        <f t="shared" si="19"/>
        <v>21853.213242797407</v>
      </c>
      <c r="AG135" s="242">
        <f t="shared" si="20"/>
        <v>20884.377081288607</v>
      </c>
      <c r="AH135" s="352">
        <f t="shared" si="21"/>
        <v>13248.669381116226</v>
      </c>
    </row>
    <row r="136" spans="2:34">
      <c r="B136" s="166" t="s">
        <v>264</v>
      </c>
      <c r="C136" s="150"/>
      <c r="D136" s="150" t="s">
        <v>116</v>
      </c>
      <c r="E136" s="150" t="s">
        <v>140</v>
      </c>
      <c r="F136" s="150" t="s">
        <v>687</v>
      </c>
      <c r="G136" s="146"/>
      <c r="H136" s="155"/>
      <c r="I136" s="135">
        <f t="shared" si="22"/>
        <v>0</v>
      </c>
      <c r="J136" s="147"/>
      <c r="K136" s="155">
        <v>1744.9095453022301</v>
      </c>
      <c r="L136" s="88">
        <f t="shared" si="23"/>
        <v>151.18262187872213</v>
      </c>
      <c r="M136" s="160">
        <v>263800</v>
      </c>
      <c r="N136" s="167">
        <v>2016</v>
      </c>
      <c r="O136" s="167">
        <f>IFERROR(('General Input Sheet'!$G$38/(VLOOKUP(N136,'General Input Sheet'!$E$38:$G$44,3,FALSE))),1)</f>
        <v>1</v>
      </c>
      <c r="P136" s="186">
        <f t="shared" si="15"/>
        <v>263800</v>
      </c>
      <c r="Q136" s="89" t="str">
        <f t="shared" si="25"/>
        <v/>
      </c>
      <c r="R136" s="89" t="str">
        <f t="shared" si="25"/>
        <v>y</v>
      </c>
      <c r="S136" s="89" t="str">
        <f t="shared" si="25"/>
        <v/>
      </c>
      <c r="T136" s="89" t="str">
        <f t="shared" si="25"/>
        <v/>
      </c>
      <c r="U136" s="254" t="str">
        <f t="shared" si="25"/>
        <v/>
      </c>
      <c r="V136" s="308"/>
      <c r="W136" s="309" t="str" cm="1">
        <f t="array" ref="W136">_xlfn.IFS(AND(Q136="y",$D136="Local"), 1, AND(Q136="y",$D136&lt;&gt;"Local"),1.49009696454663%, Q136="","")</f>
        <v/>
      </c>
      <c r="X136" s="272" cm="1">
        <f t="array" ref="X136">_xlfn.IFS(AND(R136="y",$D136="Local"), 1, AND(R136="y",$D136&lt;&gt;"Local"),20.7557554582461%, R136="","")</f>
        <v>1</v>
      </c>
      <c r="Y136" s="272" t="str" cm="1">
        <f t="array" ref="Y136">_xlfn.IFS(AND(S136="y",$D136="Local"), 1, AND(S136="y",$D136&lt;&gt;"Local"),30.3499104327336%, S136="","")</f>
        <v/>
      </c>
      <c r="Z136" s="272" t="str" cm="1">
        <f t="array" ref="Z136">_xlfn.IFS(AND(T136="y",$D136="Local"), 1, AND(T136="y",$D136&lt;&gt;"Local"),29.0043833288201%, T136="","")</f>
        <v/>
      </c>
      <c r="AA136" s="272" t="str" cm="1">
        <f t="array" ref="AA136">_xlfn.IFS(AND(U136="y",$D136="Local"), 1, AND(U136="y",$D136&lt;&gt;"Local"),18.3998538156536%, U136="","")</f>
        <v/>
      </c>
      <c r="AB136" s="68">
        <f t="shared" si="16"/>
        <v>1</v>
      </c>
      <c r="AD136" s="306" t="str">
        <f t="shared" si="17"/>
        <v/>
      </c>
      <c r="AE136" s="242">
        <f t="shared" si="18"/>
        <v>263800</v>
      </c>
      <c r="AF136" s="242" t="str">
        <f t="shared" si="19"/>
        <v/>
      </c>
      <c r="AG136" s="242" t="str">
        <f t="shared" si="20"/>
        <v/>
      </c>
      <c r="AH136" s="352" t="str">
        <f t="shared" si="21"/>
        <v/>
      </c>
    </row>
    <row r="137" spans="2:34">
      <c r="B137" s="166" t="s">
        <v>265</v>
      </c>
      <c r="C137" s="150"/>
      <c r="D137" s="150" t="s">
        <v>116</v>
      </c>
      <c r="E137" s="150" t="s">
        <v>140</v>
      </c>
      <c r="F137" s="150" t="s">
        <v>688</v>
      </c>
      <c r="G137" s="146"/>
      <c r="H137" s="155"/>
      <c r="I137" s="135">
        <f t="shared" si="22"/>
        <v>0</v>
      </c>
      <c r="J137" s="147"/>
      <c r="K137" s="155">
        <v>386.06336663337697</v>
      </c>
      <c r="L137" s="88">
        <f t="shared" si="23"/>
        <v>477.43398087039498</v>
      </c>
      <c r="M137" s="160">
        <v>184319.77</v>
      </c>
      <c r="N137" s="167">
        <v>2016</v>
      </c>
      <c r="O137" s="167">
        <f>IFERROR(('General Input Sheet'!$G$38/(VLOOKUP(N137,'General Input Sheet'!$E$38:$G$44,3,FALSE))),1)</f>
        <v>1</v>
      </c>
      <c r="P137" s="186">
        <f t="shared" si="15"/>
        <v>184319.77</v>
      </c>
      <c r="Q137" s="89" t="str">
        <f t="shared" si="25"/>
        <v/>
      </c>
      <c r="R137" s="89" t="str">
        <f t="shared" si="25"/>
        <v>y</v>
      </c>
      <c r="S137" s="89" t="str">
        <f t="shared" si="25"/>
        <v/>
      </c>
      <c r="T137" s="89" t="str">
        <f t="shared" si="25"/>
        <v/>
      </c>
      <c r="U137" s="254" t="str">
        <f t="shared" si="25"/>
        <v/>
      </c>
      <c r="V137" s="308"/>
      <c r="W137" s="309" t="str" cm="1">
        <f t="array" ref="W137">_xlfn.IFS(AND(Q137="y",$D137="Local"), 1, AND(Q137="y",$D137&lt;&gt;"Local"),1.49009696454663%, Q137="","")</f>
        <v/>
      </c>
      <c r="X137" s="272" cm="1">
        <f t="array" ref="X137">_xlfn.IFS(AND(R137="y",$D137="Local"), 1, AND(R137="y",$D137&lt;&gt;"Local"),20.7557554582461%, R137="","")</f>
        <v>1</v>
      </c>
      <c r="Y137" s="272" t="str" cm="1">
        <f t="array" ref="Y137">_xlfn.IFS(AND(S137="y",$D137="Local"), 1, AND(S137="y",$D137&lt;&gt;"Local"),30.3499104327336%, S137="","")</f>
        <v/>
      </c>
      <c r="Z137" s="272" t="str" cm="1">
        <f t="array" ref="Z137">_xlfn.IFS(AND(T137="y",$D137="Local"), 1, AND(T137="y",$D137&lt;&gt;"Local"),29.0043833288201%, T137="","")</f>
        <v/>
      </c>
      <c r="AA137" s="272" t="str" cm="1">
        <f t="array" ref="AA137">_xlfn.IFS(AND(U137="y",$D137="Local"), 1, AND(U137="y",$D137&lt;&gt;"Local"),18.3998538156536%, U137="","")</f>
        <v/>
      </c>
      <c r="AB137" s="68">
        <f t="shared" si="16"/>
        <v>1</v>
      </c>
      <c r="AD137" s="306" t="str">
        <f t="shared" si="17"/>
        <v/>
      </c>
      <c r="AE137" s="242">
        <f t="shared" si="18"/>
        <v>184319.77</v>
      </c>
      <c r="AF137" s="242" t="str">
        <f t="shared" si="19"/>
        <v/>
      </c>
      <c r="AG137" s="242" t="str">
        <f t="shared" si="20"/>
        <v/>
      </c>
      <c r="AH137" s="352" t="str">
        <f t="shared" si="21"/>
        <v/>
      </c>
    </row>
    <row r="138" spans="2:34">
      <c r="B138" s="166" t="s">
        <v>266</v>
      </c>
      <c r="C138" s="150"/>
      <c r="D138" s="150" t="s">
        <v>116</v>
      </c>
      <c r="E138" s="150" t="s">
        <v>140</v>
      </c>
      <c r="F138" s="150" t="s">
        <v>689</v>
      </c>
      <c r="G138" s="146"/>
      <c r="H138" s="155"/>
      <c r="I138" s="135">
        <f t="shared" si="22"/>
        <v>0</v>
      </c>
      <c r="J138" s="147"/>
      <c r="K138" s="155">
        <v>407.25288357690499</v>
      </c>
      <c r="L138" s="88">
        <f t="shared" si="23"/>
        <v>477.34468640856119</v>
      </c>
      <c r="M138" s="160">
        <v>194400</v>
      </c>
      <c r="N138" s="167">
        <v>2016</v>
      </c>
      <c r="O138" s="167">
        <f>IFERROR(('General Input Sheet'!$G$38/(VLOOKUP(N138,'General Input Sheet'!$E$38:$G$44,3,FALSE))),1)</f>
        <v>1</v>
      </c>
      <c r="P138" s="189">
        <f t="shared" si="15"/>
        <v>194400</v>
      </c>
      <c r="Q138" s="89" t="str">
        <f t="shared" si="25"/>
        <v/>
      </c>
      <c r="R138" s="89" t="str">
        <f t="shared" si="25"/>
        <v>y</v>
      </c>
      <c r="S138" s="89" t="str">
        <f t="shared" si="25"/>
        <v/>
      </c>
      <c r="T138" s="89" t="str">
        <f t="shared" si="25"/>
        <v/>
      </c>
      <c r="U138" s="254" t="str">
        <f t="shared" si="25"/>
        <v/>
      </c>
      <c r="V138" s="308"/>
      <c r="W138" s="309" t="str" cm="1">
        <f t="array" ref="W138">_xlfn.IFS(AND(Q138="y",$D138="Local"), 1, AND(Q138="y",$D138&lt;&gt;"Local"),1.49009696454663%, Q138="","")</f>
        <v/>
      </c>
      <c r="X138" s="272" cm="1">
        <f t="array" ref="X138">_xlfn.IFS(AND(R138="y",$D138="Local"), 1, AND(R138="y",$D138&lt;&gt;"Local"),20.7557554582461%, R138="","")</f>
        <v>1</v>
      </c>
      <c r="Y138" s="272" t="str" cm="1">
        <f t="array" ref="Y138">_xlfn.IFS(AND(S138="y",$D138="Local"), 1, AND(S138="y",$D138&lt;&gt;"Local"),30.3499104327336%, S138="","")</f>
        <v/>
      </c>
      <c r="Z138" s="272" t="str" cm="1">
        <f t="array" ref="Z138">_xlfn.IFS(AND(T138="y",$D138="Local"), 1, AND(T138="y",$D138&lt;&gt;"Local"),29.0043833288201%, T138="","")</f>
        <v/>
      </c>
      <c r="AA138" s="272" t="str" cm="1">
        <f t="array" ref="AA138">_xlfn.IFS(AND(U138="y",$D138="Local"), 1, AND(U138="y",$D138&lt;&gt;"Local"),18.3998538156536%, U138="","")</f>
        <v/>
      </c>
      <c r="AB138" s="68">
        <f t="shared" si="16"/>
        <v>1</v>
      </c>
      <c r="AD138" s="306" t="str">
        <f t="shared" si="17"/>
        <v/>
      </c>
      <c r="AE138" s="242">
        <f t="shared" si="18"/>
        <v>194400</v>
      </c>
      <c r="AF138" s="242" t="str">
        <f t="shared" si="19"/>
        <v/>
      </c>
      <c r="AG138" s="242" t="str">
        <f t="shared" si="20"/>
        <v/>
      </c>
      <c r="AH138" s="352" t="str">
        <f t="shared" si="21"/>
        <v/>
      </c>
    </row>
    <row r="139" spans="2:34">
      <c r="B139" s="166" t="s">
        <v>267</v>
      </c>
      <c r="C139" s="150"/>
      <c r="D139" s="150" t="s">
        <v>116</v>
      </c>
      <c r="E139" s="150" t="s">
        <v>141</v>
      </c>
      <c r="F139" s="150" t="s">
        <v>690</v>
      </c>
      <c r="G139" s="146"/>
      <c r="H139" s="155"/>
      <c r="I139" s="135">
        <f t="shared" si="22"/>
        <v>0</v>
      </c>
      <c r="J139" s="147"/>
      <c r="K139" s="155">
        <v>408.291683553067</v>
      </c>
      <c r="L139" s="88">
        <f t="shared" si="23"/>
        <v>595.16274709625941</v>
      </c>
      <c r="M139" s="160">
        <v>243000</v>
      </c>
      <c r="N139" s="167">
        <v>2016</v>
      </c>
      <c r="O139" s="167">
        <f>IFERROR(('General Input Sheet'!$G$38/(VLOOKUP(N139,'General Input Sheet'!$E$38:$G$44,3,FALSE))),1)</f>
        <v>1</v>
      </c>
      <c r="P139" s="189">
        <f t="shared" si="15"/>
        <v>243000</v>
      </c>
      <c r="Q139" s="89" t="str">
        <f t="shared" si="25"/>
        <v/>
      </c>
      <c r="R139" s="89" t="str">
        <f t="shared" si="25"/>
        <v/>
      </c>
      <c r="S139" s="89" t="str">
        <f t="shared" si="25"/>
        <v>y</v>
      </c>
      <c r="T139" s="89" t="str">
        <f t="shared" si="25"/>
        <v/>
      </c>
      <c r="U139" s="254" t="str">
        <f t="shared" si="25"/>
        <v/>
      </c>
      <c r="V139" s="308"/>
      <c r="W139" s="309" t="str" cm="1">
        <f t="array" ref="W139">_xlfn.IFS(AND(Q139="y",$D139="Local"), 1, AND(Q139="y",$D139&lt;&gt;"Local"),1.49009696454663%, Q139="","")</f>
        <v/>
      </c>
      <c r="X139" s="272" t="str" cm="1">
        <f t="array" ref="X139">_xlfn.IFS(AND(R139="y",$D139="Local"), 1, AND(R139="y",$D139&lt;&gt;"Local"),20.7557554582461%, R139="","")</f>
        <v/>
      </c>
      <c r="Y139" s="272" cm="1">
        <f t="array" ref="Y139">_xlfn.IFS(AND(S139="y",$D139="Local"), 1, AND(S139="y",$D139&lt;&gt;"Local"),30.3499104327336%, S139="","")</f>
        <v>1</v>
      </c>
      <c r="Z139" s="272" t="str" cm="1">
        <f t="array" ref="Z139">_xlfn.IFS(AND(T139="y",$D139="Local"), 1, AND(T139="y",$D139&lt;&gt;"Local"),29.0043833288201%, T139="","")</f>
        <v/>
      </c>
      <c r="AA139" s="272" t="str" cm="1">
        <f t="array" ref="AA139">_xlfn.IFS(AND(U139="y",$D139="Local"), 1, AND(U139="y",$D139&lt;&gt;"Local"),18.3998538156536%, U139="","")</f>
        <v/>
      </c>
      <c r="AB139" s="68">
        <f t="shared" si="16"/>
        <v>1</v>
      </c>
      <c r="AD139" s="306" t="str">
        <f t="shared" si="17"/>
        <v/>
      </c>
      <c r="AE139" s="242" t="str">
        <f t="shared" si="18"/>
        <v/>
      </c>
      <c r="AF139" s="242">
        <f t="shared" si="19"/>
        <v>243000</v>
      </c>
      <c r="AG139" s="242" t="str">
        <f t="shared" si="20"/>
        <v/>
      </c>
      <c r="AH139" s="352" t="str">
        <f t="shared" si="21"/>
        <v/>
      </c>
    </row>
    <row r="140" spans="2:34">
      <c r="B140" s="166" t="s">
        <v>268</v>
      </c>
      <c r="C140" s="150"/>
      <c r="D140" s="150" t="s">
        <v>118</v>
      </c>
      <c r="E140" s="150" t="s">
        <v>142</v>
      </c>
      <c r="F140" s="150" t="s">
        <v>691</v>
      </c>
      <c r="G140" s="146"/>
      <c r="H140" s="155"/>
      <c r="I140" s="135">
        <f t="shared" si="22"/>
        <v>0</v>
      </c>
      <c r="J140" s="147"/>
      <c r="K140" s="155">
        <v>531.64644870252403</v>
      </c>
      <c r="L140" s="88">
        <f t="shared" si="23"/>
        <v>167.18710379223117</v>
      </c>
      <c r="M140" s="160">
        <v>88884.43</v>
      </c>
      <c r="N140" s="167">
        <v>2016</v>
      </c>
      <c r="O140" s="167">
        <f>IFERROR(('General Input Sheet'!$G$38/(VLOOKUP(N140,'General Input Sheet'!$E$38:$G$44,3,FALSE))),1)</f>
        <v>1</v>
      </c>
      <c r="P140" s="189">
        <f t="shared" si="15"/>
        <v>88884.43</v>
      </c>
      <c r="Q140" s="89" t="str">
        <f t="shared" si="25"/>
        <v>y</v>
      </c>
      <c r="R140" s="89" t="str">
        <f t="shared" si="25"/>
        <v>y</v>
      </c>
      <c r="S140" s="89" t="str">
        <f t="shared" si="25"/>
        <v>y</v>
      </c>
      <c r="T140" s="89" t="str">
        <f t="shared" si="25"/>
        <v>y</v>
      </c>
      <c r="U140" s="254" t="str">
        <f t="shared" si="25"/>
        <v>y</v>
      </c>
      <c r="V140" s="308"/>
      <c r="W140" s="309" cm="1">
        <f t="array" ref="W140">_xlfn.IFS(AND(Q140="y",$D140="Local"), 1, AND(Q140="y",$D140&lt;&gt;"Local"),1.49009696454663%, Q140="","")</f>
        <v>1.49009696454663E-2</v>
      </c>
      <c r="X140" s="272" cm="1">
        <f t="array" ref="X140">_xlfn.IFS(AND(R140="y",$D140="Local"), 1, AND(R140="y",$D140&lt;&gt;"Local"),20.7557554582461%, R140="","")</f>
        <v>0.207557554582461</v>
      </c>
      <c r="Y140" s="272" cm="1">
        <f t="array" ref="Y140">_xlfn.IFS(AND(S140="y",$D140="Local"), 1, AND(S140="y",$D140&lt;&gt;"Local"),30.3499104327336%, S140="","")</f>
        <v>0.30349910432733601</v>
      </c>
      <c r="Z140" s="272" cm="1">
        <f t="array" ref="Z140">_xlfn.IFS(AND(T140="y",$D140="Local"), 1, AND(T140="y",$D140&lt;&gt;"Local"),29.0043833288201%, T140="","")</f>
        <v>0.29004383328820099</v>
      </c>
      <c r="AA140" s="272" cm="1">
        <f t="array" ref="AA140">_xlfn.IFS(AND(U140="y",$D140="Local"), 1, AND(U140="y",$D140&lt;&gt;"Local"),18.3998538156536%, U140="","")</f>
        <v>0.183998538156536</v>
      </c>
      <c r="AB140" s="68">
        <f t="shared" si="16"/>
        <v>1.0000000000000004</v>
      </c>
      <c r="AD140" s="306">
        <f t="shared" si="17"/>
        <v>1324.4641933845735</v>
      </c>
      <c r="AE140" s="242">
        <f t="shared" si="18"/>
        <v>18448.634931255925</v>
      </c>
      <c r="AF140" s="242">
        <f t="shared" si="19"/>
        <v>26976.344893645783</v>
      </c>
      <c r="AG140" s="242">
        <f t="shared" si="20"/>
        <v>25780.380796836758</v>
      </c>
      <c r="AH140" s="352">
        <f t="shared" si="21"/>
        <v>16354.605184876944</v>
      </c>
    </row>
    <row r="141" spans="2:34">
      <c r="B141" s="166" t="s">
        <v>269</v>
      </c>
      <c r="C141" s="150"/>
      <c r="D141" s="150" t="s">
        <v>116</v>
      </c>
      <c r="E141" s="150" t="s">
        <v>140</v>
      </c>
      <c r="F141" s="150" t="s">
        <v>692</v>
      </c>
      <c r="G141" s="146"/>
      <c r="H141" s="155"/>
      <c r="I141" s="135">
        <f t="shared" si="22"/>
        <v>0</v>
      </c>
      <c r="J141" s="147"/>
      <c r="K141" s="155">
        <v>407.18834241833503</v>
      </c>
      <c r="L141" s="88">
        <f t="shared" si="23"/>
        <v>397.85028971572393</v>
      </c>
      <c r="M141" s="160">
        <v>162000</v>
      </c>
      <c r="N141" s="167">
        <v>2016</v>
      </c>
      <c r="O141" s="167">
        <f>IFERROR(('General Input Sheet'!$G$38/(VLOOKUP(N141,'General Input Sheet'!$E$38:$G$44,3,FALSE))),1)</f>
        <v>1</v>
      </c>
      <c r="P141" s="189">
        <f t="shared" ref="P141:P204" si="26">J141+M141</f>
        <v>162000</v>
      </c>
      <c r="Q141" s="89" t="str">
        <f t="shared" si="25"/>
        <v/>
      </c>
      <c r="R141" s="89" t="str">
        <f t="shared" si="25"/>
        <v>y</v>
      </c>
      <c r="S141" s="89" t="str">
        <f t="shared" si="25"/>
        <v/>
      </c>
      <c r="T141" s="89" t="str">
        <f t="shared" si="25"/>
        <v/>
      </c>
      <c r="U141" s="254" t="str">
        <f t="shared" si="25"/>
        <v/>
      </c>
      <c r="V141" s="308"/>
      <c r="W141" s="309" t="str" cm="1">
        <f t="array" ref="W141">_xlfn.IFS(AND(Q141="y",$D141="Local"), 1, AND(Q141="y",$D141&lt;&gt;"Local"),1.49009696454663%, Q141="","")</f>
        <v/>
      </c>
      <c r="X141" s="272" cm="1">
        <f t="array" ref="X141">_xlfn.IFS(AND(R141="y",$D141="Local"), 1, AND(R141="y",$D141&lt;&gt;"Local"),20.7557554582461%, R141="","")</f>
        <v>1</v>
      </c>
      <c r="Y141" s="272" t="str" cm="1">
        <f t="array" ref="Y141">_xlfn.IFS(AND(S141="y",$D141="Local"), 1, AND(S141="y",$D141&lt;&gt;"Local"),30.3499104327336%, S141="","")</f>
        <v/>
      </c>
      <c r="Z141" s="272" t="str" cm="1">
        <f t="array" ref="Z141">_xlfn.IFS(AND(T141="y",$D141="Local"), 1, AND(T141="y",$D141&lt;&gt;"Local"),29.0043833288201%, T141="","")</f>
        <v/>
      </c>
      <c r="AA141" s="272" t="str" cm="1">
        <f t="array" ref="AA141">_xlfn.IFS(AND(U141="y",$D141="Local"), 1, AND(U141="y",$D141&lt;&gt;"Local"),18.3998538156536%, U141="","")</f>
        <v/>
      </c>
      <c r="AB141" s="68">
        <f t="shared" ref="AB141:AB204" si="27">SUM(W141:AA141)</f>
        <v>1</v>
      </c>
      <c r="AD141" s="306" t="str">
        <f t="shared" ref="AD141:AD204" si="28">IF(W141="","",(W141/$AB141)*$P141)</f>
        <v/>
      </c>
      <c r="AE141" s="242">
        <f t="shared" ref="AE141:AE204" si="29">IF(X141="","",(X141/$AB141)*$P141)</f>
        <v>162000</v>
      </c>
      <c r="AF141" s="242" t="str">
        <f t="shared" ref="AF141:AF204" si="30">IF(Y141="","",(Y141/$AB141)*$P141)</f>
        <v/>
      </c>
      <c r="AG141" s="242" t="str">
        <f t="shared" ref="AG141:AG204" si="31">IF(Z141="","",(Z141/$AB141)*$P141)</f>
        <v/>
      </c>
      <c r="AH141" s="352" t="str">
        <f t="shared" ref="AH141:AH204" si="32">IF(AA141="","",(AA141/$AB141)*$P141)</f>
        <v/>
      </c>
    </row>
    <row r="142" spans="2:34">
      <c r="B142" s="166" t="s">
        <v>270</v>
      </c>
      <c r="C142" s="150"/>
      <c r="D142" s="150" t="s">
        <v>116</v>
      </c>
      <c r="E142" s="150" t="s">
        <v>140</v>
      </c>
      <c r="F142" s="150" t="s">
        <v>693</v>
      </c>
      <c r="G142" s="146"/>
      <c r="H142" s="155"/>
      <c r="I142" s="135">
        <f t="shared" ref="I142:I205" si="33">IFERROR((J142-G142)/H142,0)</f>
        <v>0</v>
      </c>
      <c r="J142" s="147"/>
      <c r="K142" s="155">
        <v>196.367015709783</v>
      </c>
      <c r="L142" s="88">
        <f t="shared" si="23"/>
        <v>477.42335779322718</v>
      </c>
      <c r="M142" s="160">
        <v>93750.2</v>
      </c>
      <c r="N142" s="167">
        <v>2016</v>
      </c>
      <c r="O142" s="167">
        <f>IFERROR(('General Input Sheet'!$G$38/(VLOOKUP(N142,'General Input Sheet'!$E$38:$G$44,3,FALSE))),1)</f>
        <v>1</v>
      </c>
      <c r="P142" s="186">
        <f t="shared" si="26"/>
        <v>93750.2</v>
      </c>
      <c r="Q142" s="89" t="str">
        <f t="shared" si="25"/>
        <v/>
      </c>
      <c r="R142" s="89" t="str">
        <f t="shared" si="25"/>
        <v>y</v>
      </c>
      <c r="S142" s="89" t="str">
        <f t="shared" si="25"/>
        <v/>
      </c>
      <c r="T142" s="89" t="str">
        <f t="shared" si="25"/>
        <v/>
      </c>
      <c r="U142" s="254" t="str">
        <f t="shared" si="25"/>
        <v/>
      </c>
      <c r="V142" s="308"/>
      <c r="W142" s="309" t="str" cm="1">
        <f t="array" ref="W142">_xlfn.IFS(AND(Q142="y",$D142="Local"), 1, AND(Q142="y",$D142&lt;&gt;"Local"),1.49009696454663%, Q142="","")</f>
        <v/>
      </c>
      <c r="X142" s="272" cm="1">
        <f t="array" ref="X142">_xlfn.IFS(AND(R142="y",$D142="Local"), 1, AND(R142="y",$D142&lt;&gt;"Local"),20.7557554582461%, R142="","")</f>
        <v>1</v>
      </c>
      <c r="Y142" s="272" t="str" cm="1">
        <f t="array" ref="Y142">_xlfn.IFS(AND(S142="y",$D142="Local"), 1, AND(S142="y",$D142&lt;&gt;"Local"),30.3499104327336%, S142="","")</f>
        <v/>
      </c>
      <c r="Z142" s="272" t="str" cm="1">
        <f t="array" ref="Z142">_xlfn.IFS(AND(T142="y",$D142="Local"), 1, AND(T142="y",$D142&lt;&gt;"Local"),29.0043833288201%, T142="","")</f>
        <v/>
      </c>
      <c r="AA142" s="272" t="str" cm="1">
        <f t="array" ref="AA142">_xlfn.IFS(AND(U142="y",$D142="Local"), 1, AND(U142="y",$D142&lt;&gt;"Local"),18.3998538156536%, U142="","")</f>
        <v/>
      </c>
      <c r="AB142" s="68">
        <f t="shared" si="27"/>
        <v>1</v>
      </c>
      <c r="AD142" s="306" t="str">
        <f t="shared" si="28"/>
        <v/>
      </c>
      <c r="AE142" s="242">
        <f t="shared" si="29"/>
        <v>93750.2</v>
      </c>
      <c r="AF142" s="242" t="str">
        <f t="shared" si="30"/>
        <v/>
      </c>
      <c r="AG142" s="242" t="str">
        <f t="shared" si="31"/>
        <v/>
      </c>
      <c r="AH142" s="352" t="str">
        <f t="shared" si="32"/>
        <v/>
      </c>
    </row>
    <row r="143" spans="2:34">
      <c r="B143" s="166" t="s">
        <v>271</v>
      </c>
      <c r="C143" s="150"/>
      <c r="D143" s="150" t="s">
        <v>116</v>
      </c>
      <c r="E143" s="150" t="s">
        <v>140</v>
      </c>
      <c r="F143" s="150" t="s">
        <v>694</v>
      </c>
      <c r="G143" s="146"/>
      <c r="H143" s="155"/>
      <c r="I143" s="135">
        <f t="shared" si="33"/>
        <v>0</v>
      </c>
      <c r="J143" s="147"/>
      <c r="K143" s="155">
        <v>8.3667405635270004E-3</v>
      </c>
      <c r="L143" s="88">
        <f t="shared" ref="L143:L206" si="34">IFERROR(M143/K143,0)</f>
        <v>460.15529832289099</v>
      </c>
      <c r="M143" s="160">
        <v>3.85</v>
      </c>
      <c r="N143" s="167">
        <v>2016</v>
      </c>
      <c r="O143" s="167">
        <f>IFERROR(('General Input Sheet'!$G$38/(VLOOKUP(N143,'General Input Sheet'!$E$38:$G$44,3,FALSE))),1)</f>
        <v>1</v>
      </c>
      <c r="P143" s="189">
        <f t="shared" si="26"/>
        <v>3.85</v>
      </c>
      <c r="Q143" s="89" t="str">
        <f t="shared" si="25"/>
        <v/>
      </c>
      <c r="R143" s="89" t="str">
        <f t="shared" si="25"/>
        <v>y</v>
      </c>
      <c r="S143" s="89" t="str">
        <f t="shared" si="25"/>
        <v/>
      </c>
      <c r="T143" s="89" t="str">
        <f t="shared" si="25"/>
        <v/>
      </c>
      <c r="U143" s="254" t="str">
        <f t="shared" si="25"/>
        <v/>
      </c>
      <c r="V143" s="308"/>
      <c r="W143" s="309" t="str" cm="1">
        <f t="array" ref="W143">_xlfn.IFS(AND(Q143="y",$D143="Local"), 1, AND(Q143="y",$D143&lt;&gt;"Local"),1.49009696454663%, Q143="","")</f>
        <v/>
      </c>
      <c r="X143" s="272" cm="1">
        <f t="array" ref="X143">_xlfn.IFS(AND(R143="y",$D143="Local"), 1, AND(R143="y",$D143&lt;&gt;"Local"),20.7557554582461%, R143="","")</f>
        <v>1</v>
      </c>
      <c r="Y143" s="272" t="str" cm="1">
        <f t="array" ref="Y143">_xlfn.IFS(AND(S143="y",$D143="Local"), 1, AND(S143="y",$D143&lt;&gt;"Local"),30.3499104327336%, S143="","")</f>
        <v/>
      </c>
      <c r="Z143" s="272" t="str" cm="1">
        <f t="array" ref="Z143">_xlfn.IFS(AND(T143="y",$D143="Local"), 1, AND(T143="y",$D143&lt;&gt;"Local"),29.0043833288201%, T143="","")</f>
        <v/>
      </c>
      <c r="AA143" s="272" t="str" cm="1">
        <f t="array" ref="AA143">_xlfn.IFS(AND(U143="y",$D143="Local"), 1, AND(U143="y",$D143&lt;&gt;"Local"),18.3998538156536%, U143="","")</f>
        <v/>
      </c>
      <c r="AB143" s="68">
        <f t="shared" si="27"/>
        <v>1</v>
      </c>
      <c r="AD143" s="306" t="str">
        <f t="shared" si="28"/>
        <v/>
      </c>
      <c r="AE143" s="242">
        <f t="shared" si="29"/>
        <v>3.85</v>
      </c>
      <c r="AF143" s="242" t="str">
        <f t="shared" si="30"/>
        <v/>
      </c>
      <c r="AG143" s="242" t="str">
        <f t="shared" si="31"/>
        <v/>
      </c>
      <c r="AH143" s="352" t="str">
        <f t="shared" si="32"/>
        <v/>
      </c>
    </row>
    <row r="144" spans="2:34">
      <c r="B144" s="166" t="s">
        <v>272</v>
      </c>
      <c r="C144" s="150"/>
      <c r="D144" s="150" t="s">
        <v>116</v>
      </c>
      <c r="E144" s="150" t="s">
        <v>140</v>
      </c>
      <c r="F144" s="150" t="s">
        <v>695</v>
      </c>
      <c r="G144" s="146"/>
      <c r="H144" s="155"/>
      <c r="I144" s="135">
        <f t="shared" si="33"/>
        <v>0</v>
      </c>
      <c r="J144" s="147"/>
      <c r="K144" s="155">
        <v>0.41700568784380398</v>
      </c>
      <c r="L144" s="88">
        <f t="shared" si="34"/>
        <v>459.17838912480693</v>
      </c>
      <c r="M144" s="160">
        <v>191.48</v>
      </c>
      <c r="N144" s="167">
        <v>2016</v>
      </c>
      <c r="O144" s="167">
        <f>IFERROR(('General Input Sheet'!$G$38/(VLOOKUP(N144,'General Input Sheet'!$E$38:$G$44,3,FALSE))),1)</f>
        <v>1</v>
      </c>
      <c r="P144" s="186">
        <f t="shared" si="26"/>
        <v>191.48</v>
      </c>
      <c r="Q144" s="89" t="str">
        <f t="shared" si="25"/>
        <v/>
      </c>
      <c r="R144" s="89" t="str">
        <f t="shared" si="25"/>
        <v>y</v>
      </c>
      <c r="S144" s="89" t="str">
        <f t="shared" si="25"/>
        <v/>
      </c>
      <c r="T144" s="89" t="str">
        <f t="shared" si="25"/>
        <v/>
      </c>
      <c r="U144" s="254" t="str">
        <f t="shared" si="25"/>
        <v/>
      </c>
      <c r="V144" s="308"/>
      <c r="W144" s="309" t="str" cm="1">
        <f t="array" ref="W144">_xlfn.IFS(AND(Q144="y",$D144="Local"), 1, AND(Q144="y",$D144&lt;&gt;"Local"),1.49009696454663%, Q144="","")</f>
        <v/>
      </c>
      <c r="X144" s="272" cm="1">
        <f t="array" ref="X144">_xlfn.IFS(AND(R144="y",$D144="Local"), 1, AND(R144="y",$D144&lt;&gt;"Local"),20.7557554582461%, R144="","")</f>
        <v>1</v>
      </c>
      <c r="Y144" s="272" t="str" cm="1">
        <f t="array" ref="Y144">_xlfn.IFS(AND(S144="y",$D144="Local"), 1, AND(S144="y",$D144&lt;&gt;"Local"),30.3499104327336%, S144="","")</f>
        <v/>
      </c>
      <c r="Z144" s="272" t="str" cm="1">
        <f t="array" ref="Z144">_xlfn.IFS(AND(T144="y",$D144="Local"), 1, AND(T144="y",$D144&lt;&gt;"Local"),29.0043833288201%, T144="","")</f>
        <v/>
      </c>
      <c r="AA144" s="272" t="str" cm="1">
        <f t="array" ref="AA144">_xlfn.IFS(AND(U144="y",$D144="Local"), 1, AND(U144="y",$D144&lt;&gt;"Local"),18.3998538156536%, U144="","")</f>
        <v/>
      </c>
      <c r="AB144" s="68">
        <f t="shared" si="27"/>
        <v>1</v>
      </c>
      <c r="AD144" s="306" t="str">
        <f t="shared" si="28"/>
        <v/>
      </c>
      <c r="AE144" s="242">
        <f t="shared" si="29"/>
        <v>191.48</v>
      </c>
      <c r="AF144" s="242" t="str">
        <f t="shared" si="30"/>
        <v/>
      </c>
      <c r="AG144" s="242" t="str">
        <f t="shared" si="31"/>
        <v/>
      </c>
      <c r="AH144" s="352" t="str">
        <f t="shared" si="32"/>
        <v/>
      </c>
    </row>
    <row r="145" spans="2:34">
      <c r="B145" s="166" t="s">
        <v>273</v>
      </c>
      <c r="C145" s="150"/>
      <c r="D145" s="150" t="s">
        <v>116</v>
      </c>
      <c r="E145" s="150" t="s">
        <v>140</v>
      </c>
      <c r="F145" s="150" t="s">
        <v>696</v>
      </c>
      <c r="G145" s="146"/>
      <c r="H145" s="155"/>
      <c r="I145" s="135">
        <f t="shared" si="33"/>
        <v>0</v>
      </c>
      <c r="J145" s="147"/>
      <c r="K145" s="155">
        <v>0.38741775466302902</v>
      </c>
      <c r="L145" s="88">
        <f t="shared" si="34"/>
        <v>458.44569037493625</v>
      </c>
      <c r="M145" s="160">
        <v>177.61</v>
      </c>
      <c r="N145" s="167">
        <v>2016</v>
      </c>
      <c r="O145" s="167">
        <f>IFERROR(('General Input Sheet'!$G$38/(VLOOKUP(N145,'General Input Sheet'!$E$38:$G$44,3,FALSE))),1)</f>
        <v>1</v>
      </c>
      <c r="P145" s="189">
        <f t="shared" si="26"/>
        <v>177.61</v>
      </c>
      <c r="Q145" s="89" t="str">
        <f t="shared" si="25"/>
        <v/>
      </c>
      <c r="R145" s="89" t="str">
        <f t="shared" si="25"/>
        <v>y</v>
      </c>
      <c r="S145" s="89" t="str">
        <f t="shared" si="25"/>
        <v/>
      </c>
      <c r="T145" s="89" t="str">
        <f t="shared" si="25"/>
        <v/>
      </c>
      <c r="U145" s="254" t="str">
        <f t="shared" si="25"/>
        <v/>
      </c>
      <c r="V145" s="308"/>
      <c r="W145" s="309" t="str" cm="1">
        <f t="array" ref="W145">_xlfn.IFS(AND(Q145="y",$D145="Local"), 1, AND(Q145="y",$D145&lt;&gt;"Local"),1.49009696454663%, Q145="","")</f>
        <v/>
      </c>
      <c r="X145" s="272" cm="1">
        <f t="array" ref="X145">_xlfn.IFS(AND(R145="y",$D145="Local"), 1, AND(R145="y",$D145&lt;&gt;"Local"),20.7557554582461%, R145="","")</f>
        <v>1</v>
      </c>
      <c r="Y145" s="272" t="str" cm="1">
        <f t="array" ref="Y145">_xlfn.IFS(AND(S145="y",$D145="Local"), 1, AND(S145="y",$D145&lt;&gt;"Local"),30.3499104327336%, S145="","")</f>
        <v/>
      </c>
      <c r="Z145" s="272" t="str" cm="1">
        <f t="array" ref="Z145">_xlfn.IFS(AND(T145="y",$D145="Local"), 1, AND(T145="y",$D145&lt;&gt;"Local"),29.0043833288201%, T145="","")</f>
        <v/>
      </c>
      <c r="AA145" s="272" t="str" cm="1">
        <f t="array" ref="AA145">_xlfn.IFS(AND(U145="y",$D145="Local"), 1, AND(U145="y",$D145&lt;&gt;"Local"),18.3998538156536%, U145="","")</f>
        <v/>
      </c>
      <c r="AB145" s="68">
        <f t="shared" si="27"/>
        <v>1</v>
      </c>
      <c r="AD145" s="306" t="str">
        <f t="shared" si="28"/>
        <v/>
      </c>
      <c r="AE145" s="242">
        <f t="shared" si="29"/>
        <v>177.61</v>
      </c>
      <c r="AF145" s="242" t="str">
        <f t="shared" si="30"/>
        <v/>
      </c>
      <c r="AG145" s="242" t="str">
        <f t="shared" si="31"/>
        <v/>
      </c>
      <c r="AH145" s="352" t="str">
        <f t="shared" si="32"/>
        <v/>
      </c>
    </row>
    <row r="146" spans="2:34">
      <c r="B146" s="166" t="s">
        <v>274</v>
      </c>
      <c r="C146" s="150"/>
      <c r="D146" s="150" t="s">
        <v>118</v>
      </c>
      <c r="E146" s="150" t="s">
        <v>142</v>
      </c>
      <c r="F146" s="150" t="s">
        <v>697</v>
      </c>
      <c r="G146" s="146">
        <v>56000</v>
      </c>
      <c r="H146" s="155">
        <v>7054</v>
      </c>
      <c r="I146" s="135">
        <f t="shared" si="33"/>
        <v>45</v>
      </c>
      <c r="J146" s="147">
        <v>373430</v>
      </c>
      <c r="K146" s="155">
        <v>4514.1826867753098</v>
      </c>
      <c r="L146" s="88">
        <f t="shared" si="34"/>
        <v>43.697327664182403</v>
      </c>
      <c r="M146" s="160">
        <v>197257.72</v>
      </c>
      <c r="N146" s="167">
        <v>2016</v>
      </c>
      <c r="O146" s="167">
        <f>IFERROR(('General Input Sheet'!$G$38/(VLOOKUP(N146,'General Input Sheet'!$E$38:$G$44,3,FALSE))),1)</f>
        <v>1</v>
      </c>
      <c r="P146" s="186">
        <f t="shared" si="26"/>
        <v>570687.72</v>
      </c>
      <c r="Q146" s="89" t="str">
        <f t="shared" si="25"/>
        <v>y</v>
      </c>
      <c r="R146" s="89" t="str">
        <f t="shared" si="25"/>
        <v>y</v>
      </c>
      <c r="S146" s="89" t="str">
        <f t="shared" si="25"/>
        <v>y</v>
      </c>
      <c r="T146" s="89" t="str">
        <f t="shared" si="25"/>
        <v>y</v>
      </c>
      <c r="U146" s="254" t="str">
        <f t="shared" si="25"/>
        <v>y</v>
      </c>
      <c r="V146" s="308"/>
      <c r="W146" s="309" cm="1">
        <f t="array" ref="W146">_xlfn.IFS(AND(Q146="y",$D146="Local"), 1, AND(Q146="y",$D146&lt;&gt;"Local"),1.49009696454663%, Q146="","")</f>
        <v>1.49009696454663E-2</v>
      </c>
      <c r="X146" s="272" cm="1">
        <f t="array" ref="X146">_xlfn.IFS(AND(R146="y",$D146="Local"), 1, AND(R146="y",$D146&lt;&gt;"Local"),20.7557554582461%, R146="","")</f>
        <v>0.207557554582461</v>
      </c>
      <c r="Y146" s="272" cm="1">
        <f t="array" ref="Y146">_xlfn.IFS(AND(S146="y",$D146="Local"), 1, AND(S146="y",$D146&lt;&gt;"Local"),30.3499104327336%, S146="","")</f>
        <v>0.30349910432733601</v>
      </c>
      <c r="Z146" s="272" cm="1">
        <f t="array" ref="Z146">_xlfn.IFS(AND(T146="y",$D146="Local"), 1, AND(T146="y",$D146&lt;&gt;"Local"),29.0043833288201%, T146="","")</f>
        <v>0.29004383328820099</v>
      </c>
      <c r="AA146" s="272" cm="1">
        <f t="array" ref="AA146">_xlfn.IFS(AND(U146="y",$D146="Local"), 1, AND(U146="y",$D146&lt;&gt;"Local"),18.3998538156536%, U146="","")</f>
        <v>0.183998538156536</v>
      </c>
      <c r="AB146" s="68">
        <f t="shared" si="27"/>
        <v>1.0000000000000004</v>
      </c>
      <c r="AD146" s="306">
        <f t="shared" si="28"/>
        <v>8503.8003927603677</v>
      </c>
      <c r="AE146" s="242">
        <f t="shared" si="29"/>
        <v>118450.54759344016</v>
      </c>
      <c r="AF146" s="242">
        <f t="shared" si="30"/>
        <v>173203.21187060946</v>
      </c>
      <c r="AG146" s="242">
        <f t="shared" si="31"/>
        <v>165524.45391930346</v>
      </c>
      <c r="AH146" s="352">
        <f t="shared" si="32"/>
        <v>105005.70622388647</v>
      </c>
    </row>
    <row r="147" spans="2:34">
      <c r="B147" s="166" t="s">
        <v>275</v>
      </c>
      <c r="C147" s="150"/>
      <c r="D147" s="150" t="s">
        <v>116</v>
      </c>
      <c r="E147" s="150" t="s">
        <v>141</v>
      </c>
      <c r="F147" s="150" t="s">
        <v>698</v>
      </c>
      <c r="G147" s="146"/>
      <c r="H147" s="155"/>
      <c r="I147" s="135">
        <f t="shared" si="33"/>
        <v>0</v>
      </c>
      <c r="J147" s="147"/>
      <c r="K147" s="155">
        <v>190.590953971781</v>
      </c>
      <c r="L147" s="88">
        <f t="shared" si="34"/>
        <v>536.12450051081066</v>
      </c>
      <c r="M147" s="160">
        <v>102180.48</v>
      </c>
      <c r="N147" s="167">
        <v>2016</v>
      </c>
      <c r="O147" s="167">
        <f>IFERROR(('General Input Sheet'!$G$38/(VLOOKUP(N147,'General Input Sheet'!$E$38:$G$44,3,FALSE))),1)</f>
        <v>1</v>
      </c>
      <c r="P147" s="186">
        <f t="shared" si="26"/>
        <v>102180.48</v>
      </c>
      <c r="Q147" s="89" t="str">
        <f t="shared" si="25"/>
        <v/>
      </c>
      <c r="R147" s="89" t="str">
        <f t="shared" si="25"/>
        <v/>
      </c>
      <c r="S147" s="89" t="str">
        <f t="shared" si="25"/>
        <v>y</v>
      </c>
      <c r="T147" s="89" t="str">
        <f t="shared" si="25"/>
        <v/>
      </c>
      <c r="U147" s="254" t="str">
        <f t="shared" si="25"/>
        <v/>
      </c>
      <c r="V147" s="308"/>
      <c r="W147" s="309" t="str" cm="1">
        <f t="array" ref="W147">_xlfn.IFS(AND(Q147="y",$D147="Local"), 1, AND(Q147="y",$D147&lt;&gt;"Local"),1.49009696454663%, Q147="","")</f>
        <v/>
      </c>
      <c r="X147" s="272" t="str" cm="1">
        <f t="array" ref="X147">_xlfn.IFS(AND(R147="y",$D147="Local"), 1, AND(R147="y",$D147&lt;&gt;"Local"),20.7557554582461%, R147="","")</f>
        <v/>
      </c>
      <c r="Y147" s="272" cm="1">
        <f t="array" ref="Y147">_xlfn.IFS(AND(S147="y",$D147="Local"), 1, AND(S147="y",$D147&lt;&gt;"Local"),30.3499104327336%, S147="","")</f>
        <v>1</v>
      </c>
      <c r="Z147" s="272" t="str" cm="1">
        <f t="array" ref="Z147">_xlfn.IFS(AND(T147="y",$D147="Local"), 1, AND(T147="y",$D147&lt;&gt;"Local"),29.0043833288201%, T147="","")</f>
        <v/>
      </c>
      <c r="AA147" s="272" t="str" cm="1">
        <f t="array" ref="AA147">_xlfn.IFS(AND(U147="y",$D147="Local"), 1, AND(U147="y",$D147&lt;&gt;"Local"),18.3998538156536%, U147="","")</f>
        <v/>
      </c>
      <c r="AB147" s="68">
        <f t="shared" si="27"/>
        <v>1</v>
      </c>
      <c r="AD147" s="306" t="str">
        <f t="shared" si="28"/>
        <v/>
      </c>
      <c r="AE147" s="242" t="str">
        <f t="shared" si="29"/>
        <v/>
      </c>
      <c r="AF147" s="242">
        <f t="shared" si="30"/>
        <v>102180.48</v>
      </c>
      <c r="AG147" s="242" t="str">
        <f t="shared" si="31"/>
        <v/>
      </c>
      <c r="AH147" s="352" t="str">
        <f t="shared" si="32"/>
        <v/>
      </c>
    </row>
    <row r="148" spans="2:34">
      <c r="B148" s="166" t="s">
        <v>276</v>
      </c>
      <c r="C148" s="150"/>
      <c r="D148" s="150" t="s">
        <v>118</v>
      </c>
      <c r="E148" s="150" t="s">
        <v>142</v>
      </c>
      <c r="F148" s="150" t="s">
        <v>699</v>
      </c>
      <c r="G148" s="146"/>
      <c r="H148" s="155"/>
      <c r="I148" s="135">
        <f t="shared" si="33"/>
        <v>0</v>
      </c>
      <c r="J148" s="147"/>
      <c r="K148" s="155">
        <v>424.022427264231</v>
      </c>
      <c r="L148" s="88">
        <f t="shared" si="34"/>
        <v>172.52184152611906</v>
      </c>
      <c r="M148" s="160">
        <v>73153.13</v>
      </c>
      <c r="N148" s="167">
        <v>2016</v>
      </c>
      <c r="O148" s="167">
        <f>IFERROR(('General Input Sheet'!$G$38/(VLOOKUP(N148,'General Input Sheet'!$E$38:$G$44,3,FALSE))),1)</f>
        <v>1</v>
      </c>
      <c r="P148" s="186">
        <f t="shared" si="26"/>
        <v>73153.13</v>
      </c>
      <c r="Q148" s="89" t="str">
        <f t="shared" si="25"/>
        <v>y</v>
      </c>
      <c r="R148" s="89" t="str">
        <f t="shared" si="25"/>
        <v>y</v>
      </c>
      <c r="S148" s="89" t="str">
        <f t="shared" si="25"/>
        <v>y</v>
      </c>
      <c r="T148" s="89" t="str">
        <f t="shared" si="25"/>
        <v>y</v>
      </c>
      <c r="U148" s="254" t="str">
        <f t="shared" si="25"/>
        <v>y</v>
      </c>
      <c r="V148" s="308"/>
      <c r="W148" s="309" cm="1">
        <f t="array" ref="W148">_xlfn.IFS(AND(Q148="y",$D148="Local"), 1, AND(Q148="y",$D148&lt;&gt;"Local"),1.49009696454663%, Q148="","")</f>
        <v>1.49009696454663E-2</v>
      </c>
      <c r="X148" s="272" cm="1">
        <f t="array" ref="X148">_xlfn.IFS(AND(R148="y",$D148="Local"), 1, AND(R148="y",$D148&lt;&gt;"Local"),20.7557554582461%, R148="","")</f>
        <v>0.207557554582461</v>
      </c>
      <c r="Y148" s="272" cm="1">
        <f t="array" ref="Y148">_xlfn.IFS(AND(S148="y",$D148="Local"), 1, AND(S148="y",$D148&lt;&gt;"Local"),30.3499104327336%, S148="","")</f>
        <v>0.30349910432733601</v>
      </c>
      <c r="Z148" s="272" cm="1">
        <f t="array" ref="Z148">_xlfn.IFS(AND(T148="y",$D148="Local"), 1, AND(T148="y",$D148&lt;&gt;"Local"),29.0043833288201%, T148="","")</f>
        <v>0.29004383328820099</v>
      </c>
      <c r="AA148" s="272" cm="1">
        <f t="array" ref="AA148">_xlfn.IFS(AND(U148="y",$D148="Local"), 1, AND(U148="y",$D148&lt;&gt;"Local"),18.3998538156536%, U148="","")</f>
        <v>0.183998538156536</v>
      </c>
      <c r="AB148" s="68">
        <f t="shared" si="27"/>
        <v>1.0000000000000004</v>
      </c>
      <c r="AD148" s="306">
        <f t="shared" si="28"/>
        <v>1090.0525696008497</v>
      </c>
      <c r="AE148" s="242">
        <f t="shared" si="29"/>
        <v>15183.48477285286</v>
      </c>
      <c r="AF148" s="242">
        <f t="shared" si="30"/>
        <v>22201.909433741166</v>
      </c>
      <c r="AG148" s="242">
        <f t="shared" si="31"/>
        <v>21217.614242230087</v>
      </c>
      <c r="AH148" s="352">
        <f t="shared" si="32"/>
        <v>13460.068981575032</v>
      </c>
    </row>
    <row r="149" spans="2:34">
      <c r="B149" s="166" t="s">
        <v>277</v>
      </c>
      <c r="C149" s="150"/>
      <c r="D149" s="150" t="s">
        <v>118</v>
      </c>
      <c r="E149" s="150" t="s">
        <v>142</v>
      </c>
      <c r="F149" s="150" t="s">
        <v>700</v>
      </c>
      <c r="G149" s="146">
        <v>56000</v>
      </c>
      <c r="H149" s="155">
        <v>2900</v>
      </c>
      <c r="I149" s="135">
        <f t="shared" si="33"/>
        <v>45</v>
      </c>
      <c r="J149" s="147">
        <v>186500</v>
      </c>
      <c r="K149" s="155">
        <v>2819.9603205630601</v>
      </c>
      <c r="L149" s="88">
        <f t="shared" si="34"/>
        <v>49.745480096681042</v>
      </c>
      <c r="M149" s="160">
        <v>140280.28</v>
      </c>
      <c r="N149" s="167">
        <v>2016</v>
      </c>
      <c r="O149" s="167">
        <f>IFERROR(('General Input Sheet'!$G$38/(VLOOKUP(N149,'General Input Sheet'!$E$38:$G$44,3,FALSE))),1)</f>
        <v>1</v>
      </c>
      <c r="P149" s="186">
        <f t="shared" si="26"/>
        <v>326780.28000000003</v>
      </c>
      <c r="Q149" s="89" t="str">
        <f t="shared" si="25"/>
        <v>y</v>
      </c>
      <c r="R149" s="89" t="str">
        <f t="shared" si="25"/>
        <v>y</v>
      </c>
      <c r="S149" s="89" t="str">
        <f t="shared" si="25"/>
        <v>y</v>
      </c>
      <c r="T149" s="89" t="str">
        <f t="shared" si="25"/>
        <v>y</v>
      </c>
      <c r="U149" s="254" t="str">
        <f t="shared" si="25"/>
        <v>y</v>
      </c>
      <c r="V149" s="308"/>
      <c r="W149" s="309" cm="1">
        <f t="array" ref="W149">_xlfn.IFS(AND(Q149="y",$D149="Local"), 1, AND(Q149="y",$D149&lt;&gt;"Local"),1.49009696454663%, Q149="","")</f>
        <v>1.49009696454663E-2</v>
      </c>
      <c r="X149" s="272" cm="1">
        <f t="array" ref="X149">_xlfn.IFS(AND(R149="y",$D149="Local"), 1, AND(R149="y",$D149&lt;&gt;"Local"),20.7557554582461%, R149="","")</f>
        <v>0.207557554582461</v>
      </c>
      <c r="Y149" s="272" cm="1">
        <f t="array" ref="Y149">_xlfn.IFS(AND(S149="y",$D149="Local"), 1, AND(S149="y",$D149&lt;&gt;"Local"),30.3499104327336%, S149="","")</f>
        <v>0.30349910432733601</v>
      </c>
      <c r="Z149" s="272" cm="1">
        <f t="array" ref="Z149">_xlfn.IFS(AND(T149="y",$D149="Local"), 1, AND(T149="y",$D149&lt;&gt;"Local"),29.0043833288201%, T149="","")</f>
        <v>0.29004383328820099</v>
      </c>
      <c r="AA149" s="272" cm="1">
        <f t="array" ref="AA149">_xlfn.IFS(AND(U149="y",$D149="Local"), 1, AND(U149="y",$D149&lt;&gt;"Local"),18.3998538156536%, U149="","")</f>
        <v>0.183998538156536</v>
      </c>
      <c r="AB149" s="68">
        <f t="shared" si="27"/>
        <v>1.0000000000000004</v>
      </c>
      <c r="AD149" s="306">
        <f t="shared" si="28"/>
        <v>4869.3430330169767</v>
      </c>
      <c r="AE149" s="242">
        <f t="shared" si="29"/>
        <v>67825.715802571867</v>
      </c>
      <c r="AF149" s="242">
        <f t="shared" si="30"/>
        <v>99177.522291836052</v>
      </c>
      <c r="AG149" s="242">
        <f t="shared" si="31"/>
        <v>94780.605054191619</v>
      </c>
      <c r="AH149" s="352">
        <f t="shared" si="32"/>
        <v>60127.093818383495</v>
      </c>
    </row>
    <row r="150" spans="2:34">
      <c r="B150" s="166" t="s">
        <v>278</v>
      </c>
      <c r="C150" s="150"/>
      <c r="D150" s="150" t="s">
        <v>116</v>
      </c>
      <c r="E150" s="150" t="s">
        <v>140</v>
      </c>
      <c r="F150" s="150" t="s">
        <v>701</v>
      </c>
      <c r="G150" s="146"/>
      <c r="H150" s="155"/>
      <c r="I150" s="135">
        <f t="shared" si="33"/>
        <v>0</v>
      </c>
      <c r="J150" s="147"/>
      <c r="K150" s="155">
        <v>46.368157356150498</v>
      </c>
      <c r="L150" s="88">
        <f t="shared" si="34"/>
        <v>248.50416011779635</v>
      </c>
      <c r="M150" s="160">
        <v>11522.68</v>
      </c>
      <c r="N150" s="167">
        <v>2016</v>
      </c>
      <c r="O150" s="167">
        <f>IFERROR(('General Input Sheet'!$G$38/(VLOOKUP(N150,'General Input Sheet'!$E$38:$G$44,3,FALSE))),1)</f>
        <v>1</v>
      </c>
      <c r="P150" s="189">
        <f t="shared" si="26"/>
        <v>11522.68</v>
      </c>
      <c r="Q150" s="89" t="str">
        <f t="shared" si="25"/>
        <v/>
      </c>
      <c r="R150" s="89" t="str">
        <f t="shared" si="25"/>
        <v>y</v>
      </c>
      <c r="S150" s="89" t="str">
        <f t="shared" si="25"/>
        <v/>
      </c>
      <c r="T150" s="89" t="str">
        <f t="shared" si="25"/>
        <v/>
      </c>
      <c r="U150" s="254" t="str">
        <f t="shared" si="25"/>
        <v/>
      </c>
      <c r="V150" s="308"/>
      <c r="W150" s="309" t="str" cm="1">
        <f t="array" ref="W150">_xlfn.IFS(AND(Q150="y",$D150="Local"), 1, AND(Q150="y",$D150&lt;&gt;"Local"),1.49009696454663%, Q150="","")</f>
        <v/>
      </c>
      <c r="X150" s="272" cm="1">
        <f t="array" ref="X150">_xlfn.IFS(AND(R150="y",$D150="Local"), 1, AND(R150="y",$D150&lt;&gt;"Local"),20.7557554582461%, R150="","")</f>
        <v>1</v>
      </c>
      <c r="Y150" s="272" t="str" cm="1">
        <f t="array" ref="Y150">_xlfn.IFS(AND(S150="y",$D150="Local"), 1, AND(S150="y",$D150&lt;&gt;"Local"),30.3499104327336%, S150="","")</f>
        <v/>
      </c>
      <c r="Z150" s="272" t="str" cm="1">
        <f t="array" ref="Z150">_xlfn.IFS(AND(T150="y",$D150="Local"), 1, AND(T150="y",$D150&lt;&gt;"Local"),29.0043833288201%, T150="","")</f>
        <v/>
      </c>
      <c r="AA150" s="272" t="str" cm="1">
        <f t="array" ref="AA150">_xlfn.IFS(AND(U150="y",$D150="Local"), 1, AND(U150="y",$D150&lt;&gt;"Local"),18.3998538156536%, U150="","")</f>
        <v/>
      </c>
      <c r="AB150" s="68">
        <f t="shared" si="27"/>
        <v>1</v>
      </c>
      <c r="AD150" s="306" t="str">
        <f t="shared" si="28"/>
        <v/>
      </c>
      <c r="AE150" s="242">
        <f t="shared" si="29"/>
        <v>11522.68</v>
      </c>
      <c r="AF150" s="242" t="str">
        <f t="shared" si="30"/>
        <v/>
      </c>
      <c r="AG150" s="242" t="str">
        <f t="shared" si="31"/>
        <v/>
      </c>
      <c r="AH150" s="352" t="str">
        <f t="shared" si="32"/>
        <v/>
      </c>
    </row>
    <row r="151" spans="2:34">
      <c r="B151" s="166" t="s">
        <v>279</v>
      </c>
      <c r="C151" s="150"/>
      <c r="D151" s="150" t="s">
        <v>116</v>
      </c>
      <c r="E151" s="150" t="s">
        <v>140</v>
      </c>
      <c r="F151" s="150" t="s">
        <v>702</v>
      </c>
      <c r="G151" s="146"/>
      <c r="H151" s="155"/>
      <c r="I151" s="135">
        <f t="shared" si="33"/>
        <v>0</v>
      </c>
      <c r="J151" s="147"/>
      <c r="K151" s="155">
        <v>95.727819166726107</v>
      </c>
      <c r="L151" s="88">
        <f t="shared" si="34"/>
        <v>298.21811724634881</v>
      </c>
      <c r="M151" s="160">
        <v>28547.77</v>
      </c>
      <c r="N151" s="167">
        <v>2016</v>
      </c>
      <c r="O151" s="167">
        <f>IFERROR(('General Input Sheet'!$G$38/(VLOOKUP(N151,'General Input Sheet'!$E$38:$G$44,3,FALSE))),1)</f>
        <v>1</v>
      </c>
      <c r="P151" s="189">
        <f t="shared" si="26"/>
        <v>28547.77</v>
      </c>
      <c r="Q151" s="89" t="str">
        <f t="shared" si="25"/>
        <v/>
      </c>
      <c r="R151" s="89" t="str">
        <f t="shared" si="25"/>
        <v>y</v>
      </c>
      <c r="S151" s="89" t="str">
        <f t="shared" si="25"/>
        <v/>
      </c>
      <c r="T151" s="89" t="str">
        <f t="shared" si="25"/>
        <v/>
      </c>
      <c r="U151" s="254" t="str">
        <f t="shared" si="25"/>
        <v/>
      </c>
      <c r="V151" s="308"/>
      <c r="W151" s="309" t="str" cm="1">
        <f t="array" ref="W151">_xlfn.IFS(AND(Q151="y",$D151="Local"), 1, AND(Q151="y",$D151&lt;&gt;"Local"),1.49009696454663%, Q151="","")</f>
        <v/>
      </c>
      <c r="X151" s="272" cm="1">
        <f t="array" ref="X151">_xlfn.IFS(AND(R151="y",$D151="Local"), 1, AND(R151="y",$D151&lt;&gt;"Local"),20.7557554582461%, R151="","")</f>
        <v>1</v>
      </c>
      <c r="Y151" s="272" t="str" cm="1">
        <f t="array" ref="Y151">_xlfn.IFS(AND(S151="y",$D151="Local"), 1, AND(S151="y",$D151&lt;&gt;"Local"),30.3499104327336%, S151="","")</f>
        <v/>
      </c>
      <c r="Z151" s="272" t="str" cm="1">
        <f t="array" ref="Z151">_xlfn.IFS(AND(T151="y",$D151="Local"), 1, AND(T151="y",$D151&lt;&gt;"Local"),29.0043833288201%, T151="","")</f>
        <v/>
      </c>
      <c r="AA151" s="272" t="str" cm="1">
        <f t="array" ref="AA151">_xlfn.IFS(AND(U151="y",$D151="Local"), 1, AND(U151="y",$D151&lt;&gt;"Local"),18.3998538156536%, U151="","")</f>
        <v/>
      </c>
      <c r="AB151" s="68">
        <f t="shared" si="27"/>
        <v>1</v>
      </c>
      <c r="AD151" s="306" t="str">
        <f t="shared" si="28"/>
        <v/>
      </c>
      <c r="AE151" s="242">
        <f t="shared" si="29"/>
        <v>28547.77</v>
      </c>
      <c r="AF151" s="242" t="str">
        <f t="shared" si="30"/>
        <v/>
      </c>
      <c r="AG151" s="242" t="str">
        <f t="shared" si="31"/>
        <v/>
      </c>
      <c r="AH151" s="352" t="str">
        <f t="shared" si="32"/>
        <v/>
      </c>
    </row>
    <row r="152" spans="2:34">
      <c r="B152" s="166" t="s">
        <v>280</v>
      </c>
      <c r="C152" s="150"/>
      <c r="D152" s="150" t="s">
        <v>116</v>
      </c>
      <c r="E152" s="150" t="s">
        <v>140</v>
      </c>
      <c r="F152" s="150" t="s">
        <v>703</v>
      </c>
      <c r="G152" s="146"/>
      <c r="H152" s="155"/>
      <c r="I152" s="135">
        <f t="shared" si="33"/>
        <v>0</v>
      </c>
      <c r="J152" s="147"/>
      <c r="K152" s="155">
        <v>95.739101127310605</v>
      </c>
      <c r="L152" s="88">
        <f t="shared" si="34"/>
        <v>397.57569845349184</v>
      </c>
      <c r="M152" s="160">
        <v>38063.54</v>
      </c>
      <c r="N152" s="167">
        <v>2016</v>
      </c>
      <c r="O152" s="167">
        <f>IFERROR(('General Input Sheet'!$G$38/(VLOOKUP(N152,'General Input Sheet'!$E$38:$G$44,3,FALSE))),1)</f>
        <v>1</v>
      </c>
      <c r="P152" s="186">
        <f t="shared" si="26"/>
        <v>38063.54</v>
      </c>
      <c r="Q152" s="89" t="str">
        <f t="shared" si="25"/>
        <v/>
      </c>
      <c r="R152" s="89" t="str">
        <f t="shared" si="25"/>
        <v>y</v>
      </c>
      <c r="S152" s="89" t="str">
        <f t="shared" si="25"/>
        <v/>
      </c>
      <c r="T152" s="89" t="str">
        <f t="shared" si="25"/>
        <v/>
      </c>
      <c r="U152" s="254" t="str">
        <f t="shared" si="25"/>
        <v/>
      </c>
      <c r="V152" s="308"/>
      <c r="W152" s="309" t="str" cm="1">
        <f t="array" ref="W152">_xlfn.IFS(AND(Q152="y",$D152="Local"), 1, AND(Q152="y",$D152&lt;&gt;"Local"),1.49009696454663%, Q152="","")</f>
        <v/>
      </c>
      <c r="X152" s="272" cm="1">
        <f t="array" ref="X152">_xlfn.IFS(AND(R152="y",$D152="Local"), 1, AND(R152="y",$D152&lt;&gt;"Local"),20.7557554582461%, R152="","")</f>
        <v>1</v>
      </c>
      <c r="Y152" s="272" t="str" cm="1">
        <f t="array" ref="Y152">_xlfn.IFS(AND(S152="y",$D152="Local"), 1, AND(S152="y",$D152&lt;&gt;"Local"),30.3499104327336%, S152="","")</f>
        <v/>
      </c>
      <c r="Z152" s="272" t="str" cm="1">
        <f t="array" ref="Z152">_xlfn.IFS(AND(T152="y",$D152="Local"), 1, AND(T152="y",$D152&lt;&gt;"Local"),29.0043833288201%, T152="","")</f>
        <v/>
      </c>
      <c r="AA152" s="272" t="str" cm="1">
        <f t="array" ref="AA152">_xlfn.IFS(AND(U152="y",$D152="Local"), 1, AND(U152="y",$D152&lt;&gt;"Local"),18.3998538156536%, U152="","")</f>
        <v/>
      </c>
      <c r="AB152" s="68">
        <f t="shared" si="27"/>
        <v>1</v>
      </c>
      <c r="AD152" s="306" t="str">
        <f t="shared" si="28"/>
        <v/>
      </c>
      <c r="AE152" s="242">
        <f t="shared" si="29"/>
        <v>38063.54</v>
      </c>
      <c r="AF152" s="242" t="str">
        <f t="shared" si="30"/>
        <v/>
      </c>
      <c r="AG152" s="242" t="str">
        <f t="shared" si="31"/>
        <v/>
      </c>
      <c r="AH152" s="352" t="str">
        <f t="shared" si="32"/>
        <v/>
      </c>
    </row>
    <row r="153" spans="2:34">
      <c r="B153" s="166" t="s">
        <v>281</v>
      </c>
      <c r="C153" s="150"/>
      <c r="D153" s="150" t="s">
        <v>116</v>
      </c>
      <c r="E153" s="150" t="s">
        <v>140</v>
      </c>
      <c r="F153" s="150" t="s">
        <v>704</v>
      </c>
      <c r="G153" s="146"/>
      <c r="H153" s="155"/>
      <c r="I153" s="135">
        <f t="shared" si="33"/>
        <v>0</v>
      </c>
      <c r="J153" s="147"/>
      <c r="K153" s="155">
        <v>84.632798718813504</v>
      </c>
      <c r="L153" s="88">
        <f t="shared" si="34"/>
        <v>268.40811533921664</v>
      </c>
      <c r="M153" s="160">
        <v>22716.13</v>
      </c>
      <c r="N153" s="167">
        <v>2016</v>
      </c>
      <c r="O153" s="167">
        <f>IFERROR(('General Input Sheet'!$G$38/(VLOOKUP(N153,'General Input Sheet'!$E$38:$G$44,3,FALSE))),1)</f>
        <v>1</v>
      </c>
      <c r="P153" s="186">
        <f t="shared" si="26"/>
        <v>22716.13</v>
      </c>
      <c r="Q153" s="89" t="str">
        <f t="shared" si="25"/>
        <v/>
      </c>
      <c r="R153" s="89" t="str">
        <f t="shared" si="25"/>
        <v>y</v>
      </c>
      <c r="S153" s="89" t="str">
        <f t="shared" si="25"/>
        <v/>
      </c>
      <c r="T153" s="89" t="str">
        <f t="shared" si="25"/>
        <v/>
      </c>
      <c r="U153" s="254" t="str">
        <f t="shared" si="25"/>
        <v/>
      </c>
      <c r="V153" s="308"/>
      <c r="W153" s="309" t="str" cm="1">
        <f t="array" ref="W153">_xlfn.IFS(AND(Q153="y",$D153="Local"), 1, AND(Q153="y",$D153&lt;&gt;"Local"),1.49009696454663%, Q153="","")</f>
        <v/>
      </c>
      <c r="X153" s="272" cm="1">
        <f t="array" ref="X153">_xlfn.IFS(AND(R153="y",$D153="Local"), 1, AND(R153="y",$D153&lt;&gt;"Local"),20.7557554582461%, R153="","")</f>
        <v>1</v>
      </c>
      <c r="Y153" s="272" t="str" cm="1">
        <f t="array" ref="Y153">_xlfn.IFS(AND(S153="y",$D153="Local"), 1, AND(S153="y",$D153&lt;&gt;"Local"),30.3499104327336%, S153="","")</f>
        <v/>
      </c>
      <c r="Z153" s="272" t="str" cm="1">
        <f t="array" ref="Z153">_xlfn.IFS(AND(T153="y",$D153="Local"), 1, AND(T153="y",$D153&lt;&gt;"Local"),29.0043833288201%, T153="","")</f>
        <v/>
      </c>
      <c r="AA153" s="272" t="str" cm="1">
        <f t="array" ref="AA153">_xlfn.IFS(AND(U153="y",$D153="Local"), 1, AND(U153="y",$D153&lt;&gt;"Local"),18.3998538156536%, U153="","")</f>
        <v/>
      </c>
      <c r="AB153" s="68">
        <f t="shared" si="27"/>
        <v>1</v>
      </c>
      <c r="AD153" s="306" t="str">
        <f t="shared" si="28"/>
        <v/>
      </c>
      <c r="AE153" s="242">
        <f t="shared" si="29"/>
        <v>22716.13</v>
      </c>
      <c r="AF153" s="242" t="str">
        <f t="shared" si="30"/>
        <v/>
      </c>
      <c r="AG153" s="242" t="str">
        <f t="shared" si="31"/>
        <v/>
      </c>
      <c r="AH153" s="352" t="str">
        <f t="shared" si="32"/>
        <v/>
      </c>
    </row>
    <row r="154" spans="2:34">
      <c r="B154" s="166" t="s">
        <v>282</v>
      </c>
      <c r="C154" s="150"/>
      <c r="D154" s="150" t="s">
        <v>116</v>
      </c>
      <c r="E154" s="150" t="s">
        <v>142</v>
      </c>
      <c r="F154" s="150" t="s">
        <v>705</v>
      </c>
      <c r="G154" s="146"/>
      <c r="H154" s="155"/>
      <c r="I154" s="135">
        <f t="shared" si="33"/>
        <v>0</v>
      </c>
      <c r="J154" s="147"/>
      <c r="K154" s="155">
        <v>142.418348435344</v>
      </c>
      <c r="L154" s="88">
        <f t="shared" si="34"/>
        <v>294.98607771787653</v>
      </c>
      <c r="M154" s="160">
        <v>42011.43</v>
      </c>
      <c r="N154" s="167">
        <v>2016</v>
      </c>
      <c r="O154" s="167">
        <f>IFERROR(('General Input Sheet'!$G$38/(VLOOKUP(N154,'General Input Sheet'!$E$38:$G$44,3,FALSE))),1)</f>
        <v>1</v>
      </c>
      <c r="P154" s="189">
        <f t="shared" si="26"/>
        <v>42011.43</v>
      </c>
      <c r="Q154" s="89" t="str">
        <f t="shared" si="25"/>
        <v/>
      </c>
      <c r="R154" s="89" t="str">
        <f t="shared" si="25"/>
        <v/>
      </c>
      <c r="S154" s="89" t="str">
        <f t="shared" si="25"/>
        <v/>
      </c>
      <c r="T154" s="89" t="str">
        <f t="shared" si="25"/>
        <v>y</v>
      </c>
      <c r="U154" s="254" t="str">
        <f t="shared" si="25"/>
        <v/>
      </c>
      <c r="V154" s="308"/>
      <c r="W154" s="309" t="str" cm="1">
        <f t="array" ref="W154">_xlfn.IFS(AND(Q154="y",$D154="Local"), 1, AND(Q154="y",$D154&lt;&gt;"Local"),1.49009696454663%, Q154="","")</f>
        <v/>
      </c>
      <c r="X154" s="272" t="str" cm="1">
        <f t="array" ref="X154">_xlfn.IFS(AND(R154="y",$D154="Local"), 1, AND(R154="y",$D154&lt;&gt;"Local"),20.7557554582461%, R154="","")</f>
        <v/>
      </c>
      <c r="Y154" s="272" t="str" cm="1">
        <f t="array" ref="Y154">_xlfn.IFS(AND(S154="y",$D154="Local"), 1, AND(S154="y",$D154&lt;&gt;"Local"),30.3499104327336%, S154="","")</f>
        <v/>
      </c>
      <c r="Z154" s="272" cm="1">
        <f t="array" ref="Z154">_xlfn.IFS(AND(T154="y",$D154="Local"), 1, AND(T154="y",$D154&lt;&gt;"Local"),29.0043833288201%, T154="","")</f>
        <v>1</v>
      </c>
      <c r="AA154" s="272" t="str" cm="1">
        <f t="array" ref="AA154">_xlfn.IFS(AND(U154="y",$D154="Local"), 1, AND(U154="y",$D154&lt;&gt;"Local"),18.3998538156536%, U154="","")</f>
        <v/>
      </c>
      <c r="AB154" s="68">
        <f t="shared" si="27"/>
        <v>1</v>
      </c>
      <c r="AD154" s="306" t="str">
        <f t="shared" si="28"/>
        <v/>
      </c>
      <c r="AE154" s="242" t="str">
        <f t="shared" si="29"/>
        <v/>
      </c>
      <c r="AF154" s="242" t="str">
        <f t="shared" si="30"/>
        <v/>
      </c>
      <c r="AG154" s="242">
        <f t="shared" si="31"/>
        <v>42011.43</v>
      </c>
      <c r="AH154" s="352" t="str">
        <f t="shared" si="32"/>
        <v/>
      </c>
    </row>
    <row r="155" spans="2:34">
      <c r="B155" s="166" t="s">
        <v>283</v>
      </c>
      <c r="C155" s="150"/>
      <c r="D155" s="150" t="s">
        <v>118</v>
      </c>
      <c r="E155" s="150" t="s">
        <v>141</v>
      </c>
      <c r="F155" s="150" t="s">
        <v>706</v>
      </c>
      <c r="G155" s="146"/>
      <c r="H155" s="155"/>
      <c r="I155" s="135">
        <f t="shared" si="33"/>
        <v>0</v>
      </c>
      <c r="J155" s="147"/>
      <c r="K155" s="155">
        <v>259.33788295244</v>
      </c>
      <c r="L155" s="88">
        <f t="shared" si="34"/>
        <v>154.93660063296184</v>
      </c>
      <c r="M155" s="160">
        <v>40180.93</v>
      </c>
      <c r="N155" s="167">
        <v>2016</v>
      </c>
      <c r="O155" s="167">
        <f>IFERROR(('General Input Sheet'!$G$38/(VLOOKUP(N155,'General Input Sheet'!$E$38:$G$44,3,FALSE))),1)</f>
        <v>1</v>
      </c>
      <c r="P155" s="189">
        <f t="shared" si="26"/>
        <v>40180.93</v>
      </c>
      <c r="Q155" s="89" t="str">
        <f t="shared" si="25"/>
        <v>y</v>
      </c>
      <c r="R155" s="89" t="str">
        <f t="shared" si="25"/>
        <v>y</v>
      </c>
      <c r="S155" s="89" t="str">
        <f t="shared" si="25"/>
        <v>y</v>
      </c>
      <c r="T155" s="89" t="str">
        <f t="shared" si="25"/>
        <v>y</v>
      </c>
      <c r="U155" s="254" t="str">
        <f t="shared" si="25"/>
        <v>y</v>
      </c>
      <c r="V155" s="308"/>
      <c r="W155" s="309" cm="1">
        <f t="array" ref="W155">_xlfn.IFS(AND(Q155="y",$D155="Local"), 1, AND(Q155="y",$D155&lt;&gt;"Local"),1.49009696454663%, Q155="","")</f>
        <v>1.49009696454663E-2</v>
      </c>
      <c r="X155" s="272" cm="1">
        <f t="array" ref="X155">_xlfn.IFS(AND(R155="y",$D155="Local"), 1, AND(R155="y",$D155&lt;&gt;"Local"),20.7557554582461%, R155="","")</f>
        <v>0.207557554582461</v>
      </c>
      <c r="Y155" s="272" cm="1">
        <f t="array" ref="Y155">_xlfn.IFS(AND(S155="y",$D155="Local"), 1, AND(S155="y",$D155&lt;&gt;"Local"),30.3499104327336%, S155="","")</f>
        <v>0.30349910432733601</v>
      </c>
      <c r="Z155" s="272" cm="1">
        <f t="array" ref="Z155">_xlfn.IFS(AND(T155="y",$D155="Local"), 1, AND(T155="y",$D155&lt;&gt;"Local"),29.0043833288201%, T155="","")</f>
        <v>0.29004383328820099</v>
      </c>
      <c r="AA155" s="272" cm="1">
        <f t="array" ref="AA155">_xlfn.IFS(AND(U155="y",$D155="Local"), 1, AND(U155="y",$D155&lt;&gt;"Local"),18.3998538156536%, U155="","")</f>
        <v>0.183998538156536</v>
      </c>
      <c r="AB155" s="68">
        <f t="shared" si="27"/>
        <v>1.0000000000000004</v>
      </c>
      <c r="AD155" s="306">
        <f t="shared" si="28"/>
        <v>598.73481825660599</v>
      </c>
      <c r="AE155" s="242">
        <f t="shared" si="29"/>
        <v>8339.8555716490409</v>
      </c>
      <c r="AF155" s="242">
        <f t="shared" si="30"/>
        <v>12194.87626603938</v>
      </c>
      <c r="AG155" s="242">
        <f t="shared" si="31"/>
        <v>11654.23096228487</v>
      </c>
      <c r="AH155" s="352">
        <f t="shared" si="32"/>
        <v>7393.232381770099</v>
      </c>
    </row>
    <row r="156" spans="2:34">
      <c r="B156" s="166" t="s">
        <v>284</v>
      </c>
      <c r="C156" s="150"/>
      <c r="D156" s="150" t="s">
        <v>116</v>
      </c>
      <c r="E156" s="150" t="s">
        <v>141</v>
      </c>
      <c r="F156" s="150" t="s">
        <v>707</v>
      </c>
      <c r="G156" s="146"/>
      <c r="H156" s="155"/>
      <c r="I156" s="135">
        <f t="shared" si="33"/>
        <v>0</v>
      </c>
      <c r="J156" s="147"/>
      <c r="K156" s="155">
        <v>2163.1159119894301</v>
      </c>
      <c r="L156" s="88">
        <f t="shared" si="34"/>
        <v>94.660336445715416</v>
      </c>
      <c r="M156" s="160">
        <v>204761.28</v>
      </c>
      <c r="N156" s="167">
        <v>2016</v>
      </c>
      <c r="O156" s="167">
        <f>IFERROR(('General Input Sheet'!$G$38/(VLOOKUP(N156,'General Input Sheet'!$E$38:$G$44,3,FALSE))),1)</f>
        <v>1</v>
      </c>
      <c r="P156" s="186">
        <f t="shared" si="26"/>
        <v>204761.28</v>
      </c>
      <c r="Q156" s="89" t="str">
        <f t="shared" si="25"/>
        <v/>
      </c>
      <c r="R156" s="89" t="str">
        <f t="shared" si="25"/>
        <v/>
      </c>
      <c r="S156" s="89" t="str">
        <f t="shared" si="25"/>
        <v>y</v>
      </c>
      <c r="T156" s="89" t="str">
        <f t="shared" si="25"/>
        <v/>
      </c>
      <c r="U156" s="254" t="str">
        <f t="shared" si="25"/>
        <v/>
      </c>
      <c r="V156" s="308"/>
      <c r="W156" s="309" t="str" cm="1">
        <f t="array" ref="W156">_xlfn.IFS(AND(Q156="y",$D156="Local"), 1, AND(Q156="y",$D156&lt;&gt;"Local"),1.49009696454663%, Q156="","")</f>
        <v/>
      </c>
      <c r="X156" s="272" t="str" cm="1">
        <f t="array" ref="X156">_xlfn.IFS(AND(R156="y",$D156="Local"), 1, AND(R156="y",$D156&lt;&gt;"Local"),20.7557554582461%, R156="","")</f>
        <v/>
      </c>
      <c r="Y156" s="272" cm="1">
        <f t="array" ref="Y156">_xlfn.IFS(AND(S156="y",$D156="Local"), 1, AND(S156="y",$D156&lt;&gt;"Local"),30.3499104327336%, S156="","")</f>
        <v>1</v>
      </c>
      <c r="Z156" s="272" t="str" cm="1">
        <f t="array" ref="Z156">_xlfn.IFS(AND(T156="y",$D156="Local"), 1, AND(T156="y",$D156&lt;&gt;"Local"),29.0043833288201%, T156="","")</f>
        <v/>
      </c>
      <c r="AA156" s="272" t="str" cm="1">
        <f t="array" ref="AA156">_xlfn.IFS(AND(U156="y",$D156="Local"), 1, AND(U156="y",$D156&lt;&gt;"Local"),18.3998538156536%, U156="","")</f>
        <v/>
      </c>
      <c r="AB156" s="68">
        <f t="shared" si="27"/>
        <v>1</v>
      </c>
      <c r="AD156" s="306" t="str">
        <f t="shared" si="28"/>
        <v/>
      </c>
      <c r="AE156" s="242" t="str">
        <f t="shared" si="29"/>
        <v/>
      </c>
      <c r="AF156" s="242">
        <f t="shared" si="30"/>
        <v>204761.28</v>
      </c>
      <c r="AG156" s="242" t="str">
        <f t="shared" si="31"/>
        <v/>
      </c>
      <c r="AH156" s="352" t="str">
        <f t="shared" si="32"/>
        <v/>
      </c>
    </row>
    <row r="157" spans="2:34">
      <c r="B157" s="166" t="s">
        <v>285</v>
      </c>
      <c r="C157" s="150"/>
      <c r="D157" s="150" t="s">
        <v>116</v>
      </c>
      <c r="E157" s="150" t="s">
        <v>143</v>
      </c>
      <c r="F157" s="150" t="s">
        <v>708</v>
      </c>
      <c r="G157" s="146"/>
      <c r="H157" s="155"/>
      <c r="I157" s="135">
        <f t="shared" si="33"/>
        <v>0</v>
      </c>
      <c r="J157" s="147"/>
      <c r="K157" s="155">
        <v>273.74182057407597</v>
      </c>
      <c r="L157" s="88">
        <f t="shared" si="34"/>
        <v>326.76468583577127</v>
      </c>
      <c r="M157" s="160">
        <v>89449.16</v>
      </c>
      <c r="N157" s="167">
        <v>2016</v>
      </c>
      <c r="O157" s="167">
        <f>IFERROR(('General Input Sheet'!$G$38/(VLOOKUP(N157,'General Input Sheet'!$E$38:$G$44,3,FALSE))),1)</f>
        <v>1</v>
      </c>
      <c r="P157" s="189">
        <f t="shared" si="26"/>
        <v>89449.16</v>
      </c>
      <c r="Q157" s="89" t="str">
        <f t="shared" si="25"/>
        <v/>
      </c>
      <c r="R157" s="89" t="str">
        <f t="shared" si="25"/>
        <v/>
      </c>
      <c r="S157" s="89" t="str">
        <f t="shared" si="25"/>
        <v/>
      </c>
      <c r="T157" s="89" t="str">
        <f t="shared" si="25"/>
        <v/>
      </c>
      <c r="U157" s="254" t="str">
        <f t="shared" si="25"/>
        <v>y</v>
      </c>
      <c r="V157" s="308"/>
      <c r="W157" s="309" t="str" cm="1">
        <f t="array" ref="W157">_xlfn.IFS(AND(Q157="y",$D157="Local"), 1, AND(Q157="y",$D157&lt;&gt;"Local"),1.49009696454663%, Q157="","")</f>
        <v/>
      </c>
      <c r="X157" s="272" t="str" cm="1">
        <f t="array" ref="X157">_xlfn.IFS(AND(R157="y",$D157="Local"), 1, AND(R157="y",$D157&lt;&gt;"Local"),20.7557554582461%, R157="","")</f>
        <v/>
      </c>
      <c r="Y157" s="272" t="str" cm="1">
        <f t="array" ref="Y157">_xlfn.IFS(AND(S157="y",$D157="Local"), 1, AND(S157="y",$D157&lt;&gt;"Local"),30.3499104327336%, S157="","")</f>
        <v/>
      </c>
      <c r="Z157" s="272" t="str" cm="1">
        <f t="array" ref="Z157">_xlfn.IFS(AND(T157="y",$D157="Local"), 1, AND(T157="y",$D157&lt;&gt;"Local"),29.0043833288201%, T157="","")</f>
        <v/>
      </c>
      <c r="AA157" s="272" cm="1">
        <f t="array" ref="AA157">_xlfn.IFS(AND(U157="y",$D157="Local"), 1, AND(U157="y",$D157&lt;&gt;"Local"),18.3998538156536%, U157="","")</f>
        <v>1</v>
      </c>
      <c r="AB157" s="68">
        <f t="shared" si="27"/>
        <v>1</v>
      </c>
      <c r="AD157" s="306" t="str">
        <f t="shared" si="28"/>
        <v/>
      </c>
      <c r="AE157" s="242" t="str">
        <f t="shared" si="29"/>
        <v/>
      </c>
      <c r="AF157" s="242" t="str">
        <f t="shared" si="30"/>
        <v/>
      </c>
      <c r="AG157" s="242" t="str">
        <f t="shared" si="31"/>
        <v/>
      </c>
      <c r="AH157" s="352">
        <f t="shared" si="32"/>
        <v>89449.16</v>
      </c>
    </row>
    <row r="158" spans="2:34">
      <c r="B158" s="166" t="s">
        <v>286</v>
      </c>
      <c r="C158" s="150"/>
      <c r="D158" s="150" t="s">
        <v>118</v>
      </c>
      <c r="E158" s="150" t="s">
        <v>142</v>
      </c>
      <c r="F158" s="150" t="s">
        <v>709</v>
      </c>
      <c r="G158" s="146">
        <v>56000</v>
      </c>
      <c r="H158" s="155">
        <v>2900</v>
      </c>
      <c r="I158" s="135">
        <f t="shared" si="33"/>
        <v>45</v>
      </c>
      <c r="J158" s="147">
        <v>186500</v>
      </c>
      <c r="K158" s="155">
        <v>5965.7222276094399</v>
      </c>
      <c r="L158" s="88">
        <f t="shared" si="34"/>
        <v>80.995757355874289</v>
      </c>
      <c r="M158" s="160">
        <v>483198.19</v>
      </c>
      <c r="N158" s="167">
        <v>2016</v>
      </c>
      <c r="O158" s="167">
        <f>IFERROR(('General Input Sheet'!$G$38/(VLOOKUP(N158,'General Input Sheet'!$E$38:$G$44,3,FALSE))),1)</f>
        <v>1</v>
      </c>
      <c r="P158" s="189">
        <f t="shared" si="26"/>
        <v>669698.18999999994</v>
      </c>
      <c r="Q158" s="89" t="str">
        <f t="shared" si="25"/>
        <v>y</v>
      </c>
      <c r="R158" s="89" t="str">
        <f t="shared" si="25"/>
        <v>y</v>
      </c>
      <c r="S158" s="89" t="str">
        <f t="shared" si="25"/>
        <v>y</v>
      </c>
      <c r="T158" s="89" t="str">
        <f t="shared" si="25"/>
        <v>y</v>
      </c>
      <c r="U158" s="254" t="str">
        <f t="shared" si="25"/>
        <v>y</v>
      </c>
      <c r="V158" s="308"/>
      <c r="W158" s="309" cm="1">
        <f t="array" ref="W158">_xlfn.IFS(AND(Q158="y",$D158="Local"), 1, AND(Q158="y",$D158&lt;&gt;"Local"),1.49009696454663%, Q158="","")</f>
        <v>1.49009696454663E-2</v>
      </c>
      <c r="X158" s="272" cm="1">
        <f t="array" ref="X158">_xlfn.IFS(AND(R158="y",$D158="Local"), 1, AND(R158="y",$D158&lt;&gt;"Local"),20.7557554582461%, R158="","")</f>
        <v>0.207557554582461</v>
      </c>
      <c r="Y158" s="272" cm="1">
        <f t="array" ref="Y158">_xlfn.IFS(AND(S158="y",$D158="Local"), 1, AND(S158="y",$D158&lt;&gt;"Local"),30.3499104327336%, S158="","")</f>
        <v>0.30349910432733601</v>
      </c>
      <c r="Z158" s="272" cm="1">
        <f t="array" ref="Z158">_xlfn.IFS(AND(T158="y",$D158="Local"), 1, AND(T158="y",$D158&lt;&gt;"Local"),29.0043833288201%, T158="","")</f>
        <v>0.29004383328820099</v>
      </c>
      <c r="AA158" s="272" cm="1">
        <f t="array" ref="AA158">_xlfn.IFS(AND(U158="y",$D158="Local"), 1, AND(U158="y",$D158&lt;&gt;"Local"),18.3998538156536%, U158="","")</f>
        <v>0.183998538156536</v>
      </c>
      <c r="AB158" s="68">
        <f t="shared" si="27"/>
        <v>1.0000000000000004</v>
      </c>
      <c r="AD158" s="306">
        <f t="shared" si="28"/>
        <v>9979.1524008137167</v>
      </c>
      <c r="AE158" s="242">
        <f t="shared" si="29"/>
        <v>139000.91862470028</v>
      </c>
      <c r="AF158" s="242">
        <f t="shared" si="30"/>
        <v>203252.80083463801</v>
      </c>
      <c r="AG158" s="242">
        <f t="shared" si="31"/>
        <v>194241.83017376985</v>
      </c>
      <c r="AH158" s="352">
        <f t="shared" si="32"/>
        <v>123223.48796607803</v>
      </c>
    </row>
    <row r="159" spans="2:34">
      <c r="B159" s="166" t="s">
        <v>287</v>
      </c>
      <c r="C159" s="150"/>
      <c r="D159" s="150" t="s">
        <v>118</v>
      </c>
      <c r="E159" s="150" t="s">
        <v>143</v>
      </c>
      <c r="F159" s="150" t="s">
        <v>710</v>
      </c>
      <c r="G159" s="146"/>
      <c r="H159" s="155"/>
      <c r="I159" s="135">
        <f t="shared" si="33"/>
        <v>0</v>
      </c>
      <c r="J159" s="147"/>
      <c r="K159" s="155">
        <v>4569.7711486555399</v>
      </c>
      <c r="L159" s="88">
        <f t="shared" si="34"/>
        <v>10.019296045814142</v>
      </c>
      <c r="M159" s="160">
        <v>45785.89</v>
      </c>
      <c r="N159" s="167">
        <v>2016</v>
      </c>
      <c r="O159" s="167">
        <f>IFERROR(('General Input Sheet'!$G$38/(VLOOKUP(N159,'General Input Sheet'!$E$38:$G$44,3,FALSE))),1)</f>
        <v>1</v>
      </c>
      <c r="P159" s="189">
        <f t="shared" si="26"/>
        <v>45785.89</v>
      </c>
      <c r="Q159" s="89" t="str">
        <f t="shared" si="25"/>
        <v>y</v>
      </c>
      <c r="R159" s="89" t="str">
        <f t="shared" si="25"/>
        <v>y</v>
      </c>
      <c r="S159" s="89" t="str">
        <f t="shared" si="25"/>
        <v>y</v>
      </c>
      <c r="T159" s="89" t="str">
        <f t="shared" si="25"/>
        <v>y</v>
      </c>
      <c r="U159" s="254" t="str">
        <f t="shared" si="25"/>
        <v>y</v>
      </c>
      <c r="V159" s="308"/>
      <c r="W159" s="309" cm="1">
        <f t="array" ref="W159">_xlfn.IFS(AND(Q159="y",$D159="Local"), 1, AND(Q159="y",$D159&lt;&gt;"Local"),1.49009696454663%, Q159="","")</f>
        <v>1.49009696454663E-2</v>
      </c>
      <c r="X159" s="272" cm="1">
        <f t="array" ref="X159">_xlfn.IFS(AND(R159="y",$D159="Local"), 1, AND(R159="y",$D159&lt;&gt;"Local"),20.7557554582461%, R159="","")</f>
        <v>0.207557554582461</v>
      </c>
      <c r="Y159" s="272" cm="1">
        <f t="array" ref="Y159">_xlfn.IFS(AND(S159="y",$D159="Local"), 1, AND(S159="y",$D159&lt;&gt;"Local"),30.3499104327336%, S159="","")</f>
        <v>0.30349910432733601</v>
      </c>
      <c r="Z159" s="272" cm="1">
        <f t="array" ref="Z159">_xlfn.IFS(AND(T159="y",$D159="Local"), 1, AND(T159="y",$D159&lt;&gt;"Local"),29.0043833288201%, T159="","")</f>
        <v>0.29004383328820099</v>
      </c>
      <c r="AA159" s="272" cm="1">
        <f t="array" ref="AA159">_xlfn.IFS(AND(U159="y",$D159="Local"), 1, AND(U159="y",$D159&lt;&gt;"Local"),18.3998538156536%, U159="","")</f>
        <v>0.183998538156536</v>
      </c>
      <c r="AB159" s="68">
        <f t="shared" si="27"/>
        <v>1.0000000000000004</v>
      </c>
      <c r="AD159" s="306">
        <f t="shared" si="28"/>
        <v>682.25415708065873</v>
      </c>
      <c r="AE159" s="242">
        <f t="shared" si="29"/>
        <v>9503.2073627815516</v>
      </c>
      <c r="AF159" s="242">
        <f t="shared" si="30"/>
        <v>13895.976605829925</v>
      </c>
      <c r="AG159" s="242">
        <f t="shared" si="31"/>
        <v>13279.915046111904</v>
      </c>
      <c r="AH159" s="352">
        <f t="shared" si="32"/>
        <v>8424.5368281959563</v>
      </c>
    </row>
    <row r="160" spans="2:34">
      <c r="B160" s="166" t="s">
        <v>288</v>
      </c>
      <c r="C160" s="150"/>
      <c r="D160" s="150" t="s">
        <v>118</v>
      </c>
      <c r="E160" s="150" t="s">
        <v>143</v>
      </c>
      <c r="F160" s="150" t="s">
        <v>711</v>
      </c>
      <c r="G160" s="146"/>
      <c r="H160" s="155"/>
      <c r="I160" s="135">
        <f t="shared" si="33"/>
        <v>0</v>
      </c>
      <c r="J160" s="147"/>
      <c r="K160" s="155">
        <v>3161.0332710153498</v>
      </c>
      <c r="L160" s="88">
        <f t="shared" si="34"/>
        <v>150.45934959337873</v>
      </c>
      <c r="M160" s="160">
        <v>475607.01</v>
      </c>
      <c r="N160" s="167">
        <v>2016</v>
      </c>
      <c r="O160" s="167">
        <f>IFERROR(('General Input Sheet'!$G$38/(VLOOKUP(N160,'General Input Sheet'!$E$38:$G$44,3,FALSE))),1)</f>
        <v>1</v>
      </c>
      <c r="P160" s="186">
        <f t="shared" si="26"/>
        <v>475607.01</v>
      </c>
      <c r="Q160" s="89" t="str">
        <f t="shared" si="25"/>
        <v>y</v>
      </c>
      <c r="R160" s="89" t="str">
        <f t="shared" si="25"/>
        <v>y</v>
      </c>
      <c r="S160" s="89" t="str">
        <f t="shared" si="25"/>
        <v>y</v>
      </c>
      <c r="T160" s="89" t="str">
        <f t="shared" si="25"/>
        <v>y</v>
      </c>
      <c r="U160" s="254" t="str">
        <f t="shared" si="25"/>
        <v>y</v>
      </c>
      <c r="V160" s="308"/>
      <c r="W160" s="309" cm="1">
        <f t="array" ref="W160">_xlfn.IFS(AND(Q160="y",$D160="Local"), 1, AND(Q160="y",$D160&lt;&gt;"Local"),1.49009696454663%, Q160="","")</f>
        <v>1.49009696454663E-2</v>
      </c>
      <c r="X160" s="272" cm="1">
        <f t="array" ref="X160">_xlfn.IFS(AND(R160="y",$D160="Local"), 1, AND(R160="y",$D160&lt;&gt;"Local"),20.7557554582461%, R160="","")</f>
        <v>0.207557554582461</v>
      </c>
      <c r="Y160" s="272" cm="1">
        <f t="array" ref="Y160">_xlfn.IFS(AND(S160="y",$D160="Local"), 1, AND(S160="y",$D160&lt;&gt;"Local"),30.3499104327336%, S160="","")</f>
        <v>0.30349910432733601</v>
      </c>
      <c r="Z160" s="272" cm="1">
        <f t="array" ref="Z160">_xlfn.IFS(AND(T160="y",$D160="Local"), 1, AND(T160="y",$D160&lt;&gt;"Local"),29.0043833288201%, T160="","")</f>
        <v>0.29004383328820099</v>
      </c>
      <c r="AA160" s="272" cm="1">
        <f t="array" ref="AA160">_xlfn.IFS(AND(U160="y",$D160="Local"), 1, AND(U160="y",$D160&lt;&gt;"Local"),18.3998538156536%, U160="","")</f>
        <v>0.183998538156536</v>
      </c>
      <c r="AB160" s="68">
        <f t="shared" si="27"/>
        <v>1.0000000000000004</v>
      </c>
      <c r="AD160" s="306">
        <f t="shared" si="28"/>
        <v>7087.0056191809836</v>
      </c>
      <c r="AE160" s="242">
        <f t="shared" si="29"/>
        <v>98715.827937876034</v>
      </c>
      <c r="AF160" s="242">
        <f t="shared" si="30"/>
        <v>144346.30154680228</v>
      </c>
      <c r="AG160" s="242">
        <f t="shared" si="31"/>
        <v>137946.88031913969</v>
      </c>
      <c r="AH160" s="352">
        <f t="shared" si="32"/>
        <v>87510.994577000965</v>
      </c>
    </row>
    <row r="161" spans="2:34">
      <c r="B161" s="166" t="s">
        <v>289</v>
      </c>
      <c r="C161" s="150"/>
      <c r="D161" s="150" t="s">
        <v>116</v>
      </c>
      <c r="E161" s="150" t="s">
        <v>141</v>
      </c>
      <c r="F161" s="150" t="s">
        <v>712</v>
      </c>
      <c r="G161" s="146"/>
      <c r="H161" s="155"/>
      <c r="I161" s="135">
        <f t="shared" si="33"/>
        <v>0</v>
      </c>
      <c r="J161" s="147"/>
      <c r="K161" s="155">
        <v>856.74155064101296</v>
      </c>
      <c r="L161" s="88">
        <f t="shared" si="34"/>
        <v>49.679054282070339</v>
      </c>
      <c r="M161" s="160">
        <v>42562.11</v>
      </c>
      <c r="N161" s="167">
        <v>2016</v>
      </c>
      <c r="O161" s="167">
        <f>IFERROR(('General Input Sheet'!$G$38/(VLOOKUP(N161,'General Input Sheet'!$E$38:$G$44,3,FALSE))),1)</f>
        <v>1</v>
      </c>
      <c r="P161" s="189">
        <f t="shared" si="26"/>
        <v>42562.11</v>
      </c>
      <c r="Q161" s="89" t="str">
        <f t="shared" si="25"/>
        <v/>
      </c>
      <c r="R161" s="89" t="str">
        <f t="shared" si="25"/>
        <v/>
      </c>
      <c r="S161" s="89" t="str">
        <f t="shared" si="25"/>
        <v>y</v>
      </c>
      <c r="T161" s="89" t="str">
        <f t="shared" si="25"/>
        <v/>
      </c>
      <c r="U161" s="254" t="str">
        <f t="shared" si="25"/>
        <v/>
      </c>
      <c r="V161" s="308"/>
      <c r="W161" s="309" t="str" cm="1">
        <f t="array" ref="W161">_xlfn.IFS(AND(Q161="y",$D161="Local"), 1, AND(Q161="y",$D161&lt;&gt;"Local"),1.49009696454663%, Q161="","")</f>
        <v/>
      </c>
      <c r="X161" s="272" t="str" cm="1">
        <f t="array" ref="X161">_xlfn.IFS(AND(R161="y",$D161="Local"), 1, AND(R161="y",$D161&lt;&gt;"Local"),20.7557554582461%, R161="","")</f>
        <v/>
      </c>
      <c r="Y161" s="272" cm="1">
        <f t="array" ref="Y161">_xlfn.IFS(AND(S161="y",$D161="Local"), 1, AND(S161="y",$D161&lt;&gt;"Local"),30.3499104327336%, S161="","")</f>
        <v>1</v>
      </c>
      <c r="Z161" s="272" t="str" cm="1">
        <f t="array" ref="Z161">_xlfn.IFS(AND(T161="y",$D161="Local"), 1, AND(T161="y",$D161&lt;&gt;"Local"),29.0043833288201%, T161="","")</f>
        <v/>
      </c>
      <c r="AA161" s="272" t="str" cm="1">
        <f t="array" ref="AA161">_xlfn.IFS(AND(U161="y",$D161="Local"), 1, AND(U161="y",$D161&lt;&gt;"Local"),18.3998538156536%, U161="","")</f>
        <v/>
      </c>
      <c r="AB161" s="68">
        <f t="shared" si="27"/>
        <v>1</v>
      </c>
      <c r="AD161" s="306" t="str">
        <f t="shared" si="28"/>
        <v/>
      </c>
      <c r="AE161" s="242" t="str">
        <f t="shared" si="29"/>
        <v/>
      </c>
      <c r="AF161" s="242">
        <f t="shared" si="30"/>
        <v>42562.11</v>
      </c>
      <c r="AG161" s="242" t="str">
        <f t="shared" si="31"/>
        <v/>
      </c>
      <c r="AH161" s="352" t="str">
        <f t="shared" si="32"/>
        <v/>
      </c>
    </row>
    <row r="162" spans="2:34">
      <c r="B162" s="166" t="s">
        <v>290</v>
      </c>
      <c r="C162" s="150"/>
      <c r="D162" s="150" t="s">
        <v>116</v>
      </c>
      <c r="E162" s="150" t="s">
        <v>143</v>
      </c>
      <c r="F162" s="150" t="s">
        <v>713</v>
      </c>
      <c r="G162" s="146"/>
      <c r="H162" s="155"/>
      <c r="I162" s="135">
        <f t="shared" si="33"/>
        <v>0</v>
      </c>
      <c r="J162" s="147"/>
      <c r="K162" s="155">
        <v>633.52886344762203</v>
      </c>
      <c r="L162" s="88">
        <f t="shared" si="34"/>
        <v>269.6798991449981</v>
      </c>
      <c r="M162" s="160">
        <v>170850</v>
      </c>
      <c r="N162" s="167">
        <v>2016</v>
      </c>
      <c r="O162" s="167">
        <f>IFERROR(('General Input Sheet'!$G$38/(VLOOKUP(N162,'General Input Sheet'!$E$38:$G$44,3,FALSE))),1)</f>
        <v>1</v>
      </c>
      <c r="P162" s="189">
        <f t="shared" si="26"/>
        <v>170850</v>
      </c>
      <c r="Q162" s="89" t="str">
        <f t="shared" si="25"/>
        <v/>
      </c>
      <c r="R162" s="89" t="str">
        <f t="shared" si="25"/>
        <v/>
      </c>
      <c r="S162" s="89" t="str">
        <f t="shared" si="25"/>
        <v/>
      </c>
      <c r="T162" s="89" t="str">
        <f t="shared" si="25"/>
        <v/>
      </c>
      <c r="U162" s="254" t="str">
        <f t="shared" si="25"/>
        <v>y</v>
      </c>
      <c r="V162" s="308"/>
      <c r="W162" s="309" t="str" cm="1">
        <f t="array" ref="W162">_xlfn.IFS(AND(Q162="y",$D162="Local"), 1, AND(Q162="y",$D162&lt;&gt;"Local"),1.49009696454663%, Q162="","")</f>
        <v/>
      </c>
      <c r="X162" s="272" t="str" cm="1">
        <f t="array" ref="X162">_xlfn.IFS(AND(R162="y",$D162="Local"), 1, AND(R162="y",$D162&lt;&gt;"Local"),20.7557554582461%, R162="","")</f>
        <v/>
      </c>
      <c r="Y162" s="272" t="str" cm="1">
        <f t="array" ref="Y162">_xlfn.IFS(AND(S162="y",$D162="Local"), 1, AND(S162="y",$D162&lt;&gt;"Local"),30.3499104327336%, S162="","")</f>
        <v/>
      </c>
      <c r="Z162" s="272" t="str" cm="1">
        <f t="array" ref="Z162">_xlfn.IFS(AND(T162="y",$D162="Local"), 1, AND(T162="y",$D162&lt;&gt;"Local"),29.0043833288201%, T162="","")</f>
        <v/>
      </c>
      <c r="AA162" s="272" cm="1">
        <f t="array" ref="AA162">_xlfn.IFS(AND(U162="y",$D162="Local"), 1, AND(U162="y",$D162&lt;&gt;"Local"),18.3998538156536%, U162="","")</f>
        <v>1</v>
      </c>
      <c r="AB162" s="68">
        <f t="shared" si="27"/>
        <v>1</v>
      </c>
      <c r="AD162" s="306" t="str">
        <f t="shared" si="28"/>
        <v/>
      </c>
      <c r="AE162" s="242" t="str">
        <f t="shared" si="29"/>
        <v/>
      </c>
      <c r="AF162" s="242" t="str">
        <f t="shared" si="30"/>
        <v/>
      </c>
      <c r="AG162" s="242" t="str">
        <f t="shared" si="31"/>
        <v/>
      </c>
      <c r="AH162" s="352">
        <f t="shared" si="32"/>
        <v>170850</v>
      </c>
    </row>
    <row r="163" spans="2:34">
      <c r="B163" s="166" t="s">
        <v>291</v>
      </c>
      <c r="C163" s="150"/>
      <c r="D163" s="150" t="s">
        <v>116</v>
      </c>
      <c r="E163" s="150" t="s">
        <v>141</v>
      </c>
      <c r="F163" s="150" t="s">
        <v>714</v>
      </c>
      <c r="G163" s="146"/>
      <c r="H163" s="155"/>
      <c r="I163" s="135">
        <f t="shared" si="33"/>
        <v>0</v>
      </c>
      <c r="J163" s="147"/>
      <c r="K163" s="155">
        <v>4065.72830120856</v>
      </c>
      <c r="L163" s="88">
        <f t="shared" si="34"/>
        <v>90.193073130586782</v>
      </c>
      <c r="M163" s="160">
        <v>366700.53</v>
      </c>
      <c r="N163" s="167">
        <v>2016</v>
      </c>
      <c r="O163" s="167">
        <f>IFERROR(('General Input Sheet'!$G$38/(VLOOKUP(N163,'General Input Sheet'!$E$38:$G$44,3,FALSE))),1)</f>
        <v>1</v>
      </c>
      <c r="P163" s="189">
        <f t="shared" si="26"/>
        <v>366700.53</v>
      </c>
      <c r="Q163" s="89" t="str">
        <f t="shared" si="25"/>
        <v/>
      </c>
      <c r="R163" s="89" t="str">
        <f t="shared" si="25"/>
        <v/>
      </c>
      <c r="S163" s="89" t="str">
        <f t="shared" si="25"/>
        <v>y</v>
      </c>
      <c r="T163" s="89" t="str">
        <f t="shared" si="25"/>
        <v/>
      </c>
      <c r="U163" s="254" t="str">
        <f t="shared" si="25"/>
        <v/>
      </c>
      <c r="V163" s="308"/>
      <c r="W163" s="309" t="str" cm="1">
        <f t="array" ref="W163">_xlfn.IFS(AND(Q163="y",$D163="Local"), 1, AND(Q163="y",$D163&lt;&gt;"Local"),1.49009696454663%, Q163="","")</f>
        <v/>
      </c>
      <c r="X163" s="272" t="str" cm="1">
        <f t="array" ref="X163">_xlfn.IFS(AND(R163="y",$D163="Local"), 1, AND(R163="y",$D163&lt;&gt;"Local"),20.7557554582461%, R163="","")</f>
        <v/>
      </c>
      <c r="Y163" s="272" cm="1">
        <f t="array" ref="Y163">_xlfn.IFS(AND(S163="y",$D163="Local"), 1, AND(S163="y",$D163&lt;&gt;"Local"),30.3499104327336%, S163="","")</f>
        <v>1</v>
      </c>
      <c r="Z163" s="272" t="str" cm="1">
        <f t="array" ref="Z163">_xlfn.IFS(AND(T163="y",$D163="Local"), 1, AND(T163="y",$D163&lt;&gt;"Local"),29.0043833288201%, T163="","")</f>
        <v/>
      </c>
      <c r="AA163" s="272" t="str" cm="1">
        <f t="array" ref="AA163">_xlfn.IFS(AND(U163="y",$D163="Local"), 1, AND(U163="y",$D163&lt;&gt;"Local"),18.3998538156536%, U163="","")</f>
        <v/>
      </c>
      <c r="AB163" s="68">
        <f t="shared" si="27"/>
        <v>1</v>
      </c>
      <c r="AD163" s="306" t="str">
        <f t="shared" si="28"/>
        <v/>
      </c>
      <c r="AE163" s="242" t="str">
        <f t="shared" si="29"/>
        <v/>
      </c>
      <c r="AF163" s="242">
        <f t="shared" si="30"/>
        <v>366700.53</v>
      </c>
      <c r="AG163" s="242" t="str">
        <f t="shared" si="31"/>
        <v/>
      </c>
      <c r="AH163" s="352" t="str">
        <f t="shared" si="32"/>
        <v/>
      </c>
    </row>
    <row r="164" spans="2:34">
      <c r="B164" s="166" t="s">
        <v>292</v>
      </c>
      <c r="C164" s="150"/>
      <c r="D164" s="150" t="s">
        <v>116</v>
      </c>
      <c r="E164" s="150" t="s">
        <v>141</v>
      </c>
      <c r="F164" s="150" t="s">
        <v>715</v>
      </c>
      <c r="G164" s="146"/>
      <c r="H164" s="155"/>
      <c r="I164" s="135">
        <f t="shared" si="33"/>
        <v>0</v>
      </c>
      <c r="J164" s="147"/>
      <c r="K164" s="155">
        <v>912.22011306802301</v>
      </c>
      <c r="L164" s="88">
        <f t="shared" si="34"/>
        <v>31.261314666796338</v>
      </c>
      <c r="M164" s="160">
        <v>28517.200000000001</v>
      </c>
      <c r="N164" s="167">
        <v>2016</v>
      </c>
      <c r="O164" s="167">
        <f>IFERROR(('General Input Sheet'!$G$38/(VLOOKUP(N164,'General Input Sheet'!$E$38:$G$44,3,FALSE))),1)</f>
        <v>1</v>
      </c>
      <c r="P164" s="189">
        <f t="shared" si="26"/>
        <v>28517.200000000001</v>
      </c>
      <c r="Q164" s="89" t="str">
        <f t="shared" si="25"/>
        <v/>
      </c>
      <c r="R164" s="89" t="str">
        <f t="shared" si="25"/>
        <v/>
      </c>
      <c r="S164" s="89" t="str">
        <f t="shared" si="25"/>
        <v>y</v>
      </c>
      <c r="T164" s="89" t="str">
        <f t="shared" si="25"/>
        <v/>
      </c>
      <c r="U164" s="254" t="str">
        <f t="shared" si="25"/>
        <v/>
      </c>
      <c r="V164" s="308"/>
      <c r="W164" s="309" t="str" cm="1">
        <f t="array" ref="W164">_xlfn.IFS(AND(Q164="y",$D164="Local"), 1, AND(Q164="y",$D164&lt;&gt;"Local"),1.49009696454663%, Q164="","")</f>
        <v/>
      </c>
      <c r="X164" s="272" t="str" cm="1">
        <f t="array" ref="X164">_xlfn.IFS(AND(R164="y",$D164="Local"), 1, AND(R164="y",$D164&lt;&gt;"Local"),20.7557554582461%, R164="","")</f>
        <v/>
      </c>
      <c r="Y164" s="272" cm="1">
        <f t="array" ref="Y164">_xlfn.IFS(AND(S164="y",$D164="Local"), 1, AND(S164="y",$D164&lt;&gt;"Local"),30.3499104327336%, S164="","")</f>
        <v>1</v>
      </c>
      <c r="Z164" s="272" t="str" cm="1">
        <f t="array" ref="Z164">_xlfn.IFS(AND(T164="y",$D164="Local"), 1, AND(T164="y",$D164&lt;&gt;"Local"),29.0043833288201%, T164="","")</f>
        <v/>
      </c>
      <c r="AA164" s="272" t="str" cm="1">
        <f t="array" ref="AA164">_xlfn.IFS(AND(U164="y",$D164="Local"), 1, AND(U164="y",$D164&lt;&gt;"Local"),18.3998538156536%, U164="","")</f>
        <v/>
      </c>
      <c r="AB164" s="68">
        <f t="shared" si="27"/>
        <v>1</v>
      </c>
      <c r="AD164" s="306" t="str">
        <f t="shared" si="28"/>
        <v/>
      </c>
      <c r="AE164" s="242" t="str">
        <f t="shared" si="29"/>
        <v/>
      </c>
      <c r="AF164" s="242">
        <f t="shared" si="30"/>
        <v>28517.200000000001</v>
      </c>
      <c r="AG164" s="242" t="str">
        <f t="shared" si="31"/>
        <v/>
      </c>
      <c r="AH164" s="352" t="str">
        <f t="shared" si="32"/>
        <v/>
      </c>
    </row>
    <row r="165" spans="2:34">
      <c r="B165" s="166" t="s">
        <v>293</v>
      </c>
      <c r="C165" s="150"/>
      <c r="D165" s="150" t="s">
        <v>118</v>
      </c>
      <c r="E165" s="150" t="s">
        <v>141</v>
      </c>
      <c r="F165" s="150" t="s">
        <v>716</v>
      </c>
      <c r="G165" s="146"/>
      <c r="H165" s="155"/>
      <c r="I165" s="135">
        <f t="shared" si="33"/>
        <v>0</v>
      </c>
      <c r="J165" s="147"/>
      <c r="K165" s="155">
        <v>1190.63832672489</v>
      </c>
      <c r="L165" s="88">
        <f t="shared" si="34"/>
        <v>3.1694511383488728</v>
      </c>
      <c r="M165" s="160">
        <v>3773.67</v>
      </c>
      <c r="N165" s="167">
        <v>2016</v>
      </c>
      <c r="O165" s="167">
        <f>IFERROR(('General Input Sheet'!$G$38/(VLOOKUP(N165,'General Input Sheet'!$E$38:$G$44,3,FALSE))),1)</f>
        <v>1</v>
      </c>
      <c r="P165" s="186">
        <f t="shared" si="26"/>
        <v>3773.67</v>
      </c>
      <c r="Q165" s="89" t="str">
        <f t="shared" si="25"/>
        <v>y</v>
      </c>
      <c r="R165" s="89" t="str">
        <f t="shared" si="25"/>
        <v>y</v>
      </c>
      <c r="S165" s="89" t="str">
        <f t="shared" si="25"/>
        <v>y</v>
      </c>
      <c r="T165" s="89" t="str">
        <f t="shared" si="25"/>
        <v>y</v>
      </c>
      <c r="U165" s="254" t="str">
        <f t="shared" si="25"/>
        <v>y</v>
      </c>
      <c r="V165" s="308"/>
      <c r="W165" s="309" cm="1">
        <f t="array" ref="W165">_xlfn.IFS(AND(Q165="y",$D165="Local"), 1, AND(Q165="y",$D165&lt;&gt;"Local"),1.49009696454663%, Q165="","")</f>
        <v>1.49009696454663E-2</v>
      </c>
      <c r="X165" s="272" cm="1">
        <f t="array" ref="X165">_xlfn.IFS(AND(R165="y",$D165="Local"), 1, AND(R165="y",$D165&lt;&gt;"Local"),20.7557554582461%, R165="","")</f>
        <v>0.207557554582461</v>
      </c>
      <c r="Y165" s="272" cm="1">
        <f t="array" ref="Y165">_xlfn.IFS(AND(S165="y",$D165="Local"), 1, AND(S165="y",$D165&lt;&gt;"Local"),30.3499104327336%, S165="","")</f>
        <v>0.30349910432733601</v>
      </c>
      <c r="Z165" s="272" cm="1">
        <f t="array" ref="Z165">_xlfn.IFS(AND(T165="y",$D165="Local"), 1, AND(T165="y",$D165&lt;&gt;"Local"),29.0043833288201%, T165="","")</f>
        <v>0.29004383328820099</v>
      </c>
      <c r="AA165" s="272" cm="1">
        <f t="array" ref="AA165">_xlfn.IFS(AND(U165="y",$D165="Local"), 1, AND(U165="y",$D165&lt;&gt;"Local"),18.3998538156536%, U165="","")</f>
        <v>0.183998538156536</v>
      </c>
      <c r="AB165" s="68">
        <f t="shared" si="27"/>
        <v>1.0000000000000004</v>
      </c>
      <c r="AD165" s="306">
        <f t="shared" si="28"/>
        <v>56.231342122006787</v>
      </c>
      <c r="AE165" s="242">
        <f t="shared" si="29"/>
        <v>783.25371700119535</v>
      </c>
      <c r="AF165" s="242">
        <f t="shared" si="30"/>
        <v>1145.3054650269378</v>
      </c>
      <c r="AG165" s="242">
        <f t="shared" si="31"/>
        <v>1094.5297123646851</v>
      </c>
      <c r="AH165" s="352">
        <f t="shared" si="32"/>
        <v>694.34976348517489</v>
      </c>
    </row>
    <row r="166" spans="2:34">
      <c r="B166" s="166" t="s">
        <v>294</v>
      </c>
      <c r="C166" s="150"/>
      <c r="D166" s="150" t="s">
        <v>118</v>
      </c>
      <c r="E166" s="150" t="s">
        <v>142</v>
      </c>
      <c r="F166" s="150" t="s">
        <v>717</v>
      </c>
      <c r="G166" s="146"/>
      <c r="H166" s="155"/>
      <c r="I166" s="135">
        <f t="shared" si="33"/>
        <v>0</v>
      </c>
      <c r="J166" s="147"/>
      <c r="K166" s="155">
        <v>2305.2680855368499</v>
      </c>
      <c r="L166" s="88">
        <f t="shared" si="34"/>
        <v>4.711460705218002</v>
      </c>
      <c r="M166" s="160">
        <v>10861.18</v>
      </c>
      <c r="N166" s="167">
        <v>2016</v>
      </c>
      <c r="O166" s="167">
        <f>IFERROR(('General Input Sheet'!$G$38/(VLOOKUP(N166,'General Input Sheet'!$E$38:$G$44,3,FALSE))),1)</f>
        <v>1</v>
      </c>
      <c r="P166" s="189">
        <f t="shared" si="26"/>
        <v>10861.18</v>
      </c>
      <c r="Q166" s="89" t="str">
        <f t="shared" si="25"/>
        <v>y</v>
      </c>
      <c r="R166" s="89" t="str">
        <f t="shared" si="25"/>
        <v>y</v>
      </c>
      <c r="S166" s="89" t="str">
        <f t="shared" si="25"/>
        <v>y</v>
      </c>
      <c r="T166" s="89" t="str">
        <f t="shared" si="25"/>
        <v>y</v>
      </c>
      <c r="U166" s="254" t="str">
        <f t="shared" si="25"/>
        <v>y</v>
      </c>
      <c r="V166" s="308"/>
      <c r="W166" s="309" cm="1">
        <f t="array" ref="W166">_xlfn.IFS(AND(Q166="y",$D166="Local"), 1, AND(Q166="y",$D166&lt;&gt;"Local"),1.49009696454663%, Q166="","")</f>
        <v>1.49009696454663E-2</v>
      </c>
      <c r="X166" s="272" cm="1">
        <f t="array" ref="X166">_xlfn.IFS(AND(R166="y",$D166="Local"), 1, AND(R166="y",$D166&lt;&gt;"Local"),20.7557554582461%, R166="","")</f>
        <v>0.207557554582461</v>
      </c>
      <c r="Y166" s="272" cm="1">
        <f t="array" ref="Y166">_xlfn.IFS(AND(S166="y",$D166="Local"), 1, AND(S166="y",$D166&lt;&gt;"Local"),30.3499104327336%, S166="","")</f>
        <v>0.30349910432733601</v>
      </c>
      <c r="Z166" s="272" cm="1">
        <f t="array" ref="Z166">_xlfn.IFS(AND(T166="y",$D166="Local"), 1, AND(T166="y",$D166&lt;&gt;"Local"),29.0043833288201%, T166="","")</f>
        <v>0.29004383328820099</v>
      </c>
      <c r="AA166" s="272" cm="1">
        <f t="array" ref="AA166">_xlfn.IFS(AND(U166="y",$D166="Local"), 1, AND(U166="y",$D166&lt;&gt;"Local"),18.3998538156536%, U166="","")</f>
        <v>0.183998538156536</v>
      </c>
      <c r="AB166" s="68">
        <f t="shared" si="27"/>
        <v>1.0000000000000004</v>
      </c>
      <c r="AD166" s="306">
        <f t="shared" si="28"/>
        <v>161.84211349394559</v>
      </c>
      <c r="AE166" s="242">
        <f t="shared" si="29"/>
        <v>2254.319960679933</v>
      </c>
      <c r="AF166" s="242">
        <f t="shared" si="30"/>
        <v>3296.3584019379741</v>
      </c>
      <c r="AG166" s="242">
        <f t="shared" si="31"/>
        <v>3150.2182812331416</v>
      </c>
      <c r="AH166" s="352">
        <f t="shared" si="32"/>
        <v>1998.4412426550048</v>
      </c>
    </row>
    <row r="167" spans="2:34">
      <c r="B167" s="166" t="s">
        <v>295</v>
      </c>
      <c r="C167" s="150"/>
      <c r="D167" s="150" t="s">
        <v>118</v>
      </c>
      <c r="E167" s="150" t="s">
        <v>143</v>
      </c>
      <c r="F167" s="150" t="s">
        <v>718</v>
      </c>
      <c r="G167" s="146"/>
      <c r="H167" s="155"/>
      <c r="I167" s="135">
        <f t="shared" si="33"/>
        <v>0</v>
      </c>
      <c r="J167" s="147"/>
      <c r="K167" s="155">
        <v>2505.0412917522599</v>
      </c>
      <c r="L167" s="88">
        <f t="shared" si="34"/>
        <v>22.726331972028117</v>
      </c>
      <c r="M167" s="160">
        <v>56930.400000000001</v>
      </c>
      <c r="N167" s="167">
        <v>2016</v>
      </c>
      <c r="O167" s="167">
        <f>IFERROR(('General Input Sheet'!$G$38/(VLOOKUP(N167,'General Input Sheet'!$E$38:$G$44,3,FALSE))),1)</f>
        <v>1</v>
      </c>
      <c r="P167" s="189">
        <f t="shared" si="26"/>
        <v>56930.400000000001</v>
      </c>
      <c r="Q167" s="89" t="str">
        <f t="shared" si="25"/>
        <v>y</v>
      </c>
      <c r="R167" s="89" t="str">
        <f t="shared" si="25"/>
        <v>y</v>
      </c>
      <c r="S167" s="89" t="str">
        <f t="shared" si="25"/>
        <v>y</v>
      </c>
      <c r="T167" s="89" t="str">
        <f t="shared" si="25"/>
        <v>y</v>
      </c>
      <c r="U167" s="254" t="str">
        <f t="shared" si="25"/>
        <v>y</v>
      </c>
      <c r="V167" s="308"/>
      <c r="W167" s="309" cm="1">
        <f t="array" ref="W167">_xlfn.IFS(AND(Q167="y",$D167="Local"), 1, AND(Q167="y",$D167&lt;&gt;"Local"),1.49009696454663%, Q167="","")</f>
        <v>1.49009696454663E-2</v>
      </c>
      <c r="X167" s="272" cm="1">
        <f t="array" ref="X167">_xlfn.IFS(AND(R167="y",$D167="Local"), 1, AND(R167="y",$D167&lt;&gt;"Local"),20.7557554582461%, R167="","")</f>
        <v>0.207557554582461</v>
      </c>
      <c r="Y167" s="272" cm="1">
        <f t="array" ref="Y167">_xlfn.IFS(AND(S167="y",$D167="Local"), 1, AND(S167="y",$D167&lt;&gt;"Local"),30.3499104327336%, S167="","")</f>
        <v>0.30349910432733601</v>
      </c>
      <c r="Z167" s="272" cm="1">
        <f t="array" ref="Z167">_xlfn.IFS(AND(T167="y",$D167="Local"), 1, AND(T167="y",$D167&lt;&gt;"Local"),29.0043833288201%, T167="","")</f>
        <v>0.29004383328820099</v>
      </c>
      <c r="AA167" s="272" cm="1">
        <f t="array" ref="AA167">_xlfn.IFS(AND(U167="y",$D167="Local"), 1, AND(U167="y",$D167&lt;&gt;"Local"),18.3998538156536%, U167="","")</f>
        <v>0.183998538156536</v>
      </c>
      <c r="AB167" s="68">
        <f t="shared" si="27"/>
        <v>1.0000000000000004</v>
      </c>
      <c r="AD167" s="306">
        <f t="shared" si="28"/>
        <v>848.31816230425432</v>
      </c>
      <c r="AE167" s="242">
        <f t="shared" si="29"/>
        <v>11816.334605401333</v>
      </c>
      <c r="AF167" s="242">
        <f t="shared" si="30"/>
        <v>17278.325408996963</v>
      </c>
      <c r="AG167" s="242">
        <f t="shared" si="31"/>
        <v>16512.311446630592</v>
      </c>
      <c r="AH167" s="352">
        <f t="shared" si="32"/>
        <v>10475.110376666853</v>
      </c>
    </row>
    <row r="168" spans="2:34">
      <c r="B168" s="166" t="s">
        <v>296</v>
      </c>
      <c r="C168" s="150"/>
      <c r="D168" s="150" t="s">
        <v>116</v>
      </c>
      <c r="E168" s="150" t="s">
        <v>141</v>
      </c>
      <c r="F168" s="150" t="s">
        <v>719</v>
      </c>
      <c r="G168" s="146"/>
      <c r="H168" s="155"/>
      <c r="I168" s="135">
        <f t="shared" si="33"/>
        <v>0</v>
      </c>
      <c r="J168" s="147"/>
      <c r="K168" s="155">
        <v>304.64361286021301</v>
      </c>
      <c r="L168" s="88">
        <f t="shared" si="34"/>
        <v>235.06486588595902</v>
      </c>
      <c r="M168" s="160">
        <v>71611.009999999995</v>
      </c>
      <c r="N168" s="167">
        <v>2016</v>
      </c>
      <c r="O168" s="167">
        <f>IFERROR(('General Input Sheet'!$G$38/(VLOOKUP(N168,'General Input Sheet'!$E$38:$G$44,3,FALSE))),1)</f>
        <v>1</v>
      </c>
      <c r="P168" s="189">
        <f t="shared" si="26"/>
        <v>71611.009999999995</v>
      </c>
      <c r="Q168" s="89" t="str">
        <f t="shared" si="25"/>
        <v/>
      </c>
      <c r="R168" s="89" t="str">
        <f t="shared" si="25"/>
        <v/>
      </c>
      <c r="S168" s="89" t="str">
        <f t="shared" si="25"/>
        <v>y</v>
      </c>
      <c r="T168" s="89" t="str">
        <f t="shared" si="25"/>
        <v/>
      </c>
      <c r="U168" s="254" t="str">
        <f t="shared" si="25"/>
        <v/>
      </c>
      <c r="V168" s="308"/>
      <c r="W168" s="309" t="str" cm="1">
        <f t="array" ref="W168">_xlfn.IFS(AND(Q168="y",$D168="Local"), 1, AND(Q168="y",$D168&lt;&gt;"Local"),1.49009696454663%, Q168="","")</f>
        <v/>
      </c>
      <c r="X168" s="272" t="str" cm="1">
        <f t="array" ref="X168">_xlfn.IFS(AND(R168="y",$D168="Local"), 1, AND(R168="y",$D168&lt;&gt;"Local"),20.7557554582461%, R168="","")</f>
        <v/>
      </c>
      <c r="Y168" s="272" cm="1">
        <f t="array" ref="Y168">_xlfn.IFS(AND(S168="y",$D168="Local"), 1, AND(S168="y",$D168&lt;&gt;"Local"),30.3499104327336%, S168="","")</f>
        <v>1</v>
      </c>
      <c r="Z168" s="272" t="str" cm="1">
        <f t="array" ref="Z168">_xlfn.IFS(AND(T168="y",$D168="Local"), 1, AND(T168="y",$D168&lt;&gt;"Local"),29.0043833288201%, T168="","")</f>
        <v/>
      </c>
      <c r="AA168" s="272" t="str" cm="1">
        <f t="array" ref="AA168">_xlfn.IFS(AND(U168="y",$D168="Local"), 1, AND(U168="y",$D168&lt;&gt;"Local"),18.3998538156536%, U168="","")</f>
        <v/>
      </c>
      <c r="AB168" s="68">
        <f t="shared" si="27"/>
        <v>1</v>
      </c>
      <c r="AD168" s="306" t="str">
        <f t="shared" si="28"/>
        <v/>
      </c>
      <c r="AE168" s="242" t="str">
        <f t="shared" si="29"/>
        <v/>
      </c>
      <c r="AF168" s="242">
        <f t="shared" si="30"/>
        <v>71611.009999999995</v>
      </c>
      <c r="AG168" s="242" t="str">
        <f t="shared" si="31"/>
        <v/>
      </c>
      <c r="AH168" s="352" t="str">
        <f t="shared" si="32"/>
        <v/>
      </c>
    </row>
    <row r="169" spans="2:34">
      <c r="B169" s="166" t="s">
        <v>297</v>
      </c>
      <c r="C169" s="150"/>
      <c r="D169" s="150" t="s">
        <v>117</v>
      </c>
      <c r="E169" s="150" t="s">
        <v>139</v>
      </c>
      <c r="F169" s="150" t="s">
        <v>720</v>
      </c>
      <c r="G169" s="146"/>
      <c r="H169" s="155"/>
      <c r="I169" s="135">
        <f t="shared" si="33"/>
        <v>0</v>
      </c>
      <c r="J169" s="147"/>
      <c r="K169" s="155">
        <v>3698.9079506162302</v>
      </c>
      <c r="L169" s="88">
        <f t="shared" si="34"/>
        <v>4.8114876708502612</v>
      </c>
      <c r="M169" s="160">
        <v>17797.25</v>
      </c>
      <c r="N169" s="167">
        <v>2016</v>
      </c>
      <c r="O169" s="167">
        <f>IFERROR(('General Input Sheet'!$G$38/(VLOOKUP(N169,'General Input Sheet'!$E$38:$G$44,3,FALSE))),1)</f>
        <v>1</v>
      </c>
      <c r="P169" s="189">
        <f t="shared" si="26"/>
        <v>17797.25</v>
      </c>
      <c r="Q169" s="89" t="str">
        <f t="shared" si="25"/>
        <v>y</v>
      </c>
      <c r="R169" s="89" t="str">
        <f t="shared" si="25"/>
        <v>y</v>
      </c>
      <c r="S169" s="89" t="str">
        <f t="shared" si="25"/>
        <v>y</v>
      </c>
      <c r="T169" s="89" t="str">
        <f t="shared" si="25"/>
        <v>y</v>
      </c>
      <c r="U169" s="254" t="str">
        <f t="shared" si="25"/>
        <v>y</v>
      </c>
      <c r="V169" s="308"/>
      <c r="W169" s="309" cm="1">
        <f t="array" ref="W169">_xlfn.IFS(AND(Q169="y",$D169="Local"), 1, AND(Q169="y",$D169&lt;&gt;"Local"),1.49009696454663%, Q169="","")</f>
        <v>1.49009696454663E-2</v>
      </c>
      <c r="X169" s="272" cm="1">
        <f t="array" ref="X169">_xlfn.IFS(AND(R169="y",$D169="Local"), 1, AND(R169="y",$D169&lt;&gt;"Local"),20.7557554582461%, R169="","")</f>
        <v>0.207557554582461</v>
      </c>
      <c r="Y169" s="272" cm="1">
        <f t="array" ref="Y169">_xlfn.IFS(AND(S169="y",$D169="Local"), 1, AND(S169="y",$D169&lt;&gt;"Local"),30.3499104327336%, S169="","")</f>
        <v>0.30349910432733601</v>
      </c>
      <c r="Z169" s="272" cm="1">
        <f t="array" ref="Z169">_xlfn.IFS(AND(T169="y",$D169="Local"), 1, AND(T169="y",$D169&lt;&gt;"Local"),29.0043833288201%, T169="","")</f>
        <v>0.29004383328820099</v>
      </c>
      <c r="AA169" s="272" cm="1">
        <f t="array" ref="AA169">_xlfn.IFS(AND(U169="y",$D169="Local"), 1, AND(U169="y",$D169&lt;&gt;"Local"),18.3998538156536%, U169="","")</f>
        <v>0.183998538156536</v>
      </c>
      <c r="AB169" s="68">
        <f t="shared" si="27"/>
        <v>1.0000000000000004</v>
      </c>
      <c r="AD169" s="306">
        <f t="shared" si="28"/>
        <v>265.19628202277499</v>
      </c>
      <c r="AE169" s="242">
        <f t="shared" si="29"/>
        <v>3693.9536882927027</v>
      </c>
      <c r="AF169" s="242">
        <f t="shared" si="30"/>
        <v>5401.4494344896784</v>
      </c>
      <c r="AG169" s="242">
        <f t="shared" si="31"/>
        <v>5161.9826119884328</v>
      </c>
      <c r="AH169" s="352">
        <f t="shared" si="32"/>
        <v>3274.6679832064087</v>
      </c>
    </row>
    <row r="170" spans="2:34">
      <c r="B170" s="166" t="s">
        <v>298</v>
      </c>
      <c r="C170" s="150"/>
      <c r="D170" s="150" t="s">
        <v>116</v>
      </c>
      <c r="E170" s="150" t="s">
        <v>140</v>
      </c>
      <c r="F170" s="150" t="s">
        <v>721</v>
      </c>
      <c r="G170" s="146"/>
      <c r="H170" s="155"/>
      <c r="I170" s="135">
        <f t="shared" si="33"/>
        <v>0</v>
      </c>
      <c r="J170" s="147"/>
      <c r="K170" s="155">
        <v>1568.8288374993799</v>
      </c>
      <c r="L170" s="88">
        <f t="shared" si="34"/>
        <v>229.88531405048357</v>
      </c>
      <c r="M170" s="160">
        <v>360650.71</v>
      </c>
      <c r="N170" s="167">
        <v>2016</v>
      </c>
      <c r="O170" s="167">
        <f>IFERROR(('General Input Sheet'!$G$38/(VLOOKUP(N170,'General Input Sheet'!$E$38:$G$44,3,FALSE))),1)</f>
        <v>1</v>
      </c>
      <c r="P170" s="189">
        <f t="shared" si="26"/>
        <v>360650.71</v>
      </c>
      <c r="Q170" s="89" t="str">
        <f t="shared" si="25"/>
        <v/>
      </c>
      <c r="R170" s="89" t="str">
        <f t="shared" si="25"/>
        <v>y</v>
      </c>
      <c r="S170" s="89" t="str">
        <f t="shared" si="25"/>
        <v/>
      </c>
      <c r="T170" s="89" t="str">
        <f t="shared" si="25"/>
        <v/>
      </c>
      <c r="U170" s="254" t="str">
        <f t="shared" si="25"/>
        <v/>
      </c>
      <c r="V170" s="308"/>
      <c r="W170" s="309" t="str" cm="1">
        <f t="array" ref="W170">_xlfn.IFS(AND(Q170="y",$D170="Local"), 1, AND(Q170="y",$D170&lt;&gt;"Local"),1.49009696454663%, Q170="","")</f>
        <v/>
      </c>
      <c r="X170" s="272" cm="1">
        <f t="array" ref="X170">_xlfn.IFS(AND(R170="y",$D170="Local"), 1, AND(R170="y",$D170&lt;&gt;"Local"),20.7557554582461%, R170="","")</f>
        <v>1</v>
      </c>
      <c r="Y170" s="272" t="str" cm="1">
        <f t="array" ref="Y170">_xlfn.IFS(AND(S170="y",$D170="Local"), 1, AND(S170="y",$D170&lt;&gt;"Local"),30.3499104327336%, S170="","")</f>
        <v/>
      </c>
      <c r="Z170" s="272" t="str" cm="1">
        <f t="array" ref="Z170">_xlfn.IFS(AND(T170="y",$D170="Local"), 1, AND(T170="y",$D170&lt;&gt;"Local"),29.0043833288201%, T170="","")</f>
        <v/>
      </c>
      <c r="AA170" s="272" t="str" cm="1">
        <f t="array" ref="AA170">_xlfn.IFS(AND(U170="y",$D170="Local"), 1, AND(U170="y",$D170&lt;&gt;"Local"),18.3998538156536%, U170="","")</f>
        <v/>
      </c>
      <c r="AB170" s="68">
        <f t="shared" si="27"/>
        <v>1</v>
      </c>
      <c r="AD170" s="306" t="str">
        <f t="shared" si="28"/>
        <v/>
      </c>
      <c r="AE170" s="242">
        <f t="shared" si="29"/>
        <v>360650.71</v>
      </c>
      <c r="AF170" s="242" t="str">
        <f t="shared" si="30"/>
        <v/>
      </c>
      <c r="AG170" s="242" t="str">
        <f t="shared" si="31"/>
        <v/>
      </c>
      <c r="AH170" s="352" t="str">
        <f t="shared" si="32"/>
        <v/>
      </c>
    </row>
    <row r="171" spans="2:34">
      <c r="B171" s="166" t="s">
        <v>299</v>
      </c>
      <c r="C171" s="150"/>
      <c r="D171" s="150" t="s">
        <v>116</v>
      </c>
      <c r="E171" s="150" t="s">
        <v>141</v>
      </c>
      <c r="F171" s="150" t="s">
        <v>722</v>
      </c>
      <c r="G171" s="146">
        <v>56000</v>
      </c>
      <c r="H171" s="155">
        <v>750</v>
      </c>
      <c r="I171" s="135">
        <f t="shared" si="33"/>
        <v>45</v>
      </c>
      <c r="J171" s="147">
        <v>89750</v>
      </c>
      <c r="K171" s="155">
        <v>701.75130709118696</v>
      </c>
      <c r="L171" s="88">
        <f t="shared" si="34"/>
        <v>297.48896495161478</v>
      </c>
      <c r="M171" s="160">
        <v>208763.27</v>
      </c>
      <c r="N171" s="167">
        <v>2016</v>
      </c>
      <c r="O171" s="167">
        <f>IFERROR(('General Input Sheet'!$G$38/(VLOOKUP(N171,'General Input Sheet'!$E$38:$G$44,3,FALSE))),1)</f>
        <v>1</v>
      </c>
      <c r="P171" s="189">
        <f t="shared" si="26"/>
        <v>298513.27</v>
      </c>
      <c r="Q171" s="89" t="str">
        <f t="shared" si="25"/>
        <v/>
      </c>
      <c r="R171" s="89" t="str">
        <f t="shared" si="25"/>
        <v/>
      </c>
      <c r="S171" s="89" t="str">
        <f t="shared" si="25"/>
        <v>y</v>
      </c>
      <c r="T171" s="89" t="str">
        <f t="shared" si="25"/>
        <v/>
      </c>
      <c r="U171" s="254" t="str">
        <f t="shared" si="25"/>
        <v/>
      </c>
      <c r="V171" s="308"/>
      <c r="W171" s="309" t="str" cm="1">
        <f t="array" ref="W171">_xlfn.IFS(AND(Q171="y",$D171="Local"), 1, AND(Q171="y",$D171&lt;&gt;"Local"),1.49009696454663%, Q171="","")</f>
        <v/>
      </c>
      <c r="X171" s="272" t="str" cm="1">
        <f t="array" ref="X171">_xlfn.IFS(AND(R171="y",$D171="Local"), 1, AND(R171="y",$D171&lt;&gt;"Local"),20.7557554582461%, R171="","")</f>
        <v/>
      </c>
      <c r="Y171" s="272" cm="1">
        <f t="array" ref="Y171">_xlfn.IFS(AND(S171="y",$D171="Local"), 1, AND(S171="y",$D171&lt;&gt;"Local"),30.3499104327336%, S171="","")</f>
        <v>1</v>
      </c>
      <c r="Z171" s="272" t="str" cm="1">
        <f t="array" ref="Z171">_xlfn.IFS(AND(T171="y",$D171="Local"), 1, AND(T171="y",$D171&lt;&gt;"Local"),29.0043833288201%, T171="","")</f>
        <v/>
      </c>
      <c r="AA171" s="272" t="str" cm="1">
        <f t="array" ref="AA171">_xlfn.IFS(AND(U171="y",$D171="Local"), 1, AND(U171="y",$D171&lt;&gt;"Local"),18.3998538156536%, U171="","")</f>
        <v/>
      </c>
      <c r="AB171" s="68">
        <f t="shared" si="27"/>
        <v>1</v>
      </c>
      <c r="AD171" s="306" t="str">
        <f t="shared" si="28"/>
        <v/>
      </c>
      <c r="AE171" s="242" t="str">
        <f t="shared" si="29"/>
        <v/>
      </c>
      <c r="AF171" s="242">
        <f t="shared" si="30"/>
        <v>298513.27</v>
      </c>
      <c r="AG171" s="242" t="str">
        <f t="shared" si="31"/>
        <v/>
      </c>
      <c r="AH171" s="352" t="str">
        <f t="shared" si="32"/>
        <v/>
      </c>
    </row>
    <row r="172" spans="2:34">
      <c r="B172" s="166" t="s">
        <v>300</v>
      </c>
      <c r="C172" s="150"/>
      <c r="D172" s="150" t="s">
        <v>118</v>
      </c>
      <c r="E172" s="150" t="s">
        <v>141</v>
      </c>
      <c r="F172" s="150" t="s">
        <v>723</v>
      </c>
      <c r="G172" s="146">
        <v>56000</v>
      </c>
      <c r="H172" s="155">
        <v>905</v>
      </c>
      <c r="I172" s="135">
        <f t="shared" si="33"/>
        <v>45</v>
      </c>
      <c r="J172" s="147">
        <v>96725</v>
      </c>
      <c r="K172" s="155">
        <v>1162.852443555</v>
      </c>
      <c r="L172" s="88">
        <f t="shared" si="34"/>
        <v>19.802306068689852</v>
      </c>
      <c r="M172" s="160">
        <v>23027.16</v>
      </c>
      <c r="N172" s="167">
        <v>2016</v>
      </c>
      <c r="O172" s="167">
        <f>IFERROR(('General Input Sheet'!$G$38/(VLOOKUP(N172,'General Input Sheet'!$E$38:$G$44,3,FALSE))),1)</f>
        <v>1</v>
      </c>
      <c r="P172" s="189">
        <f t="shared" si="26"/>
        <v>119752.16</v>
      </c>
      <c r="Q172" s="89" t="str">
        <f t="shared" si="25"/>
        <v>y</v>
      </c>
      <c r="R172" s="89" t="str">
        <f t="shared" si="25"/>
        <v>y</v>
      </c>
      <c r="S172" s="89" t="str">
        <f t="shared" si="25"/>
        <v>y</v>
      </c>
      <c r="T172" s="89" t="str">
        <f t="shared" si="25"/>
        <v>y</v>
      </c>
      <c r="U172" s="254" t="str">
        <f t="shared" si="25"/>
        <v>y</v>
      </c>
      <c r="V172" s="308"/>
      <c r="W172" s="309" cm="1">
        <f t="array" ref="W172">_xlfn.IFS(AND(Q172="y",$D172="Local"), 1, AND(Q172="y",$D172&lt;&gt;"Local"),1.49009696454663%, Q172="","")</f>
        <v>1.49009696454663E-2</v>
      </c>
      <c r="X172" s="272" cm="1">
        <f t="array" ref="X172">_xlfn.IFS(AND(R172="y",$D172="Local"), 1, AND(R172="y",$D172&lt;&gt;"Local"),20.7557554582461%, R172="","")</f>
        <v>0.207557554582461</v>
      </c>
      <c r="Y172" s="272" cm="1">
        <f t="array" ref="Y172">_xlfn.IFS(AND(S172="y",$D172="Local"), 1, AND(S172="y",$D172&lt;&gt;"Local"),30.3499104327336%, S172="","")</f>
        <v>0.30349910432733601</v>
      </c>
      <c r="Z172" s="272" cm="1">
        <f t="array" ref="Z172">_xlfn.IFS(AND(T172="y",$D172="Local"), 1, AND(T172="y",$D172&lt;&gt;"Local"),29.0043833288201%, T172="","")</f>
        <v>0.29004383328820099</v>
      </c>
      <c r="AA172" s="272" cm="1">
        <f t="array" ref="AA172">_xlfn.IFS(AND(U172="y",$D172="Local"), 1, AND(U172="y",$D172&lt;&gt;"Local"),18.3998538156536%, U172="","")</f>
        <v>0.183998538156536</v>
      </c>
      <c r="AB172" s="68">
        <f t="shared" si="27"/>
        <v>1.0000000000000004</v>
      </c>
      <c r="AD172" s="306">
        <f t="shared" si="28"/>
        <v>1784.4233011390229</v>
      </c>
      <c r="AE172" s="242">
        <f t="shared" si="29"/>
        <v>24855.465485567594</v>
      </c>
      <c r="AF172" s="242">
        <f t="shared" si="30"/>
        <v>36344.673301263821</v>
      </c>
      <c r="AG172" s="242">
        <f t="shared" si="31"/>
        <v>34733.375530941958</v>
      </c>
      <c r="AH172" s="352">
        <f t="shared" si="32"/>
        <v>22034.222381087595</v>
      </c>
    </row>
    <row r="173" spans="2:34">
      <c r="B173" s="166" t="s">
        <v>301</v>
      </c>
      <c r="C173" s="150"/>
      <c r="D173" s="150" t="s">
        <v>118</v>
      </c>
      <c r="E173" s="150" t="s">
        <v>142</v>
      </c>
      <c r="F173" s="150" t="s">
        <v>724</v>
      </c>
      <c r="G173" s="146">
        <v>56000</v>
      </c>
      <c r="H173" s="155">
        <v>1670</v>
      </c>
      <c r="I173" s="135">
        <f t="shared" si="33"/>
        <v>45</v>
      </c>
      <c r="J173" s="147">
        <v>131150</v>
      </c>
      <c r="K173" s="155">
        <v>2675.5810353667798</v>
      </c>
      <c r="L173" s="88">
        <f t="shared" si="34"/>
        <v>102.57622788179806</v>
      </c>
      <c r="M173" s="160">
        <v>274451.01</v>
      </c>
      <c r="N173" s="167">
        <v>2016</v>
      </c>
      <c r="O173" s="167">
        <f>IFERROR(('General Input Sheet'!$G$38/(VLOOKUP(N173,'General Input Sheet'!$E$38:$G$44,3,FALSE))),1)</f>
        <v>1</v>
      </c>
      <c r="P173" s="189">
        <f t="shared" si="26"/>
        <v>405601.01</v>
      </c>
      <c r="Q173" s="89" t="str">
        <f t="shared" si="25"/>
        <v>y</v>
      </c>
      <c r="R173" s="89" t="str">
        <f t="shared" si="25"/>
        <v>y</v>
      </c>
      <c r="S173" s="89" t="str">
        <f t="shared" si="25"/>
        <v>y</v>
      </c>
      <c r="T173" s="89" t="str">
        <f t="shared" si="25"/>
        <v>y</v>
      </c>
      <c r="U173" s="254" t="str">
        <f t="shared" si="25"/>
        <v>y</v>
      </c>
      <c r="V173" s="308"/>
      <c r="W173" s="309" cm="1">
        <f t="array" ref="W173">_xlfn.IFS(AND(Q173="y",$D173="Local"), 1, AND(Q173="y",$D173&lt;&gt;"Local"),1.49009696454663%, Q173="","")</f>
        <v>1.49009696454663E-2</v>
      </c>
      <c r="X173" s="272" cm="1">
        <f t="array" ref="X173">_xlfn.IFS(AND(R173="y",$D173="Local"), 1, AND(R173="y",$D173&lt;&gt;"Local"),20.7557554582461%, R173="","")</f>
        <v>0.207557554582461</v>
      </c>
      <c r="Y173" s="272" cm="1">
        <f t="array" ref="Y173">_xlfn.IFS(AND(S173="y",$D173="Local"), 1, AND(S173="y",$D173&lt;&gt;"Local"),30.3499104327336%, S173="","")</f>
        <v>0.30349910432733601</v>
      </c>
      <c r="Z173" s="272" cm="1">
        <f t="array" ref="Z173">_xlfn.IFS(AND(T173="y",$D173="Local"), 1, AND(T173="y",$D173&lt;&gt;"Local"),29.0043833288201%, T173="","")</f>
        <v>0.29004383328820099</v>
      </c>
      <c r="AA173" s="272" cm="1">
        <f t="array" ref="AA173">_xlfn.IFS(AND(U173="y",$D173="Local"), 1, AND(U173="y",$D173&lt;&gt;"Local"),18.3998538156536%, U173="","")</f>
        <v>0.183998538156536</v>
      </c>
      <c r="AB173" s="68">
        <f t="shared" si="27"/>
        <v>1.0000000000000004</v>
      </c>
      <c r="AD173" s="306">
        <f t="shared" si="28"/>
        <v>6043.8483381804708</v>
      </c>
      <c r="AE173" s="242">
        <f t="shared" si="29"/>
        <v>84185.553771776278</v>
      </c>
      <c r="AF173" s="242">
        <f t="shared" si="30"/>
        <v>123099.54324926282</v>
      </c>
      <c r="AG173" s="242">
        <f t="shared" si="31"/>
        <v>117642.0717259659</v>
      </c>
      <c r="AH173" s="352">
        <f t="shared" si="32"/>
        <v>74629.992914814502</v>
      </c>
    </row>
    <row r="174" spans="2:34">
      <c r="B174" s="166" t="s">
        <v>302</v>
      </c>
      <c r="C174" s="150"/>
      <c r="D174" s="150" t="s">
        <v>118</v>
      </c>
      <c r="E174" s="150" t="s">
        <v>143</v>
      </c>
      <c r="F174" s="150" t="s">
        <v>725</v>
      </c>
      <c r="G174" s="146"/>
      <c r="H174" s="155"/>
      <c r="I174" s="135">
        <f t="shared" si="33"/>
        <v>0</v>
      </c>
      <c r="J174" s="147"/>
      <c r="K174" s="155">
        <v>3088.7998475456102</v>
      </c>
      <c r="L174" s="88">
        <f t="shared" si="34"/>
        <v>477.87306165949428</v>
      </c>
      <c r="M174" s="160">
        <v>1476054.24</v>
      </c>
      <c r="N174" s="167">
        <v>2016</v>
      </c>
      <c r="O174" s="167">
        <f>IFERROR(('General Input Sheet'!$G$38/(VLOOKUP(N174,'General Input Sheet'!$E$38:$G$44,3,FALSE))),1)</f>
        <v>1</v>
      </c>
      <c r="P174" s="189">
        <f t="shared" si="26"/>
        <v>1476054.24</v>
      </c>
      <c r="Q174" s="89" t="str">
        <f t="shared" si="25"/>
        <v>y</v>
      </c>
      <c r="R174" s="89" t="str">
        <f t="shared" si="25"/>
        <v>y</v>
      </c>
      <c r="S174" s="89" t="str">
        <f t="shared" si="25"/>
        <v>y</v>
      </c>
      <c r="T174" s="89" t="str">
        <f t="shared" si="25"/>
        <v>y</v>
      </c>
      <c r="U174" s="254" t="str">
        <f t="shared" si="25"/>
        <v>y</v>
      </c>
      <c r="V174" s="308"/>
      <c r="W174" s="309" cm="1">
        <f t="array" ref="W174">_xlfn.IFS(AND(Q174="y",$D174="Local"), 1, AND(Q174="y",$D174&lt;&gt;"Local"),1.49009696454663%, Q174="","")</f>
        <v>1.49009696454663E-2</v>
      </c>
      <c r="X174" s="272" cm="1">
        <f t="array" ref="X174">_xlfn.IFS(AND(R174="y",$D174="Local"), 1, AND(R174="y",$D174&lt;&gt;"Local"),20.7557554582461%, R174="","")</f>
        <v>0.207557554582461</v>
      </c>
      <c r="Y174" s="272" cm="1">
        <f t="array" ref="Y174">_xlfn.IFS(AND(S174="y",$D174="Local"), 1, AND(S174="y",$D174&lt;&gt;"Local"),30.3499104327336%, S174="","")</f>
        <v>0.30349910432733601</v>
      </c>
      <c r="Z174" s="272" cm="1">
        <f t="array" ref="Z174">_xlfn.IFS(AND(T174="y",$D174="Local"), 1, AND(T174="y",$D174&lt;&gt;"Local"),29.0043833288201%, T174="","")</f>
        <v>0.29004383328820099</v>
      </c>
      <c r="AA174" s="272" cm="1">
        <f t="array" ref="AA174">_xlfn.IFS(AND(U174="y",$D174="Local"), 1, AND(U174="y",$D174&lt;&gt;"Local"),18.3998538156536%, U174="","")</f>
        <v>0.183998538156536</v>
      </c>
      <c r="AB174" s="68">
        <f t="shared" si="27"/>
        <v>1.0000000000000004</v>
      </c>
      <c r="AD174" s="306">
        <f t="shared" si="28"/>
        <v>21994.639425301819</v>
      </c>
      <c r="AE174" s="242">
        <f t="shared" si="29"/>
        <v>306366.20848547289</v>
      </c>
      <c r="AF174" s="242">
        <f t="shared" si="30"/>
        <v>447981.13977856649</v>
      </c>
      <c r="AG174" s="242">
        <f t="shared" si="31"/>
        <v>428120.42991090205</v>
      </c>
      <c r="AH174" s="352">
        <f t="shared" si="32"/>
        <v>271591.82239975664</v>
      </c>
    </row>
    <row r="175" spans="2:34">
      <c r="B175" s="166" t="s">
        <v>303</v>
      </c>
      <c r="C175" s="150"/>
      <c r="D175" s="150" t="s">
        <v>116</v>
      </c>
      <c r="E175" s="150" t="s">
        <v>143</v>
      </c>
      <c r="F175" s="150" t="s">
        <v>726</v>
      </c>
      <c r="G175" s="146"/>
      <c r="H175" s="155"/>
      <c r="I175" s="135">
        <f t="shared" si="33"/>
        <v>0</v>
      </c>
      <c r="J175" s="147"/>
      <c r="K175" s="155">
        <v>282.30310674106602</v>
      </c>
      <c r="L175" s="88">
        <f t="shared" si="34"/>
        <v>591.24535300666571</v>
      </c>
      <c r="M175" s="160">
        <v>166910.39999999999</v>
      </c>
      <c r="N175" s="167">
        <v>2016</v>
      </c>
      <c r="O175" s="167">
        <f>IFERROR(('General Input Sheet'!$G$38/(VLOOKUP(N175,'General Input Sheet'!$E$38:$G$44,3,FALSE))),1)</f>
        <v>1</v>
      </c>
      <c r="P175" s="189">
        <f t="shared" si="26"/>
        <v>166910.39999999999</v>
      </c>
      <c r="Q175" s="89" t="str">
        <f t="shared" si="25"/>
        <v/>
      </c>
      <c r="R175" s="89" t="str">
        <f t="shared" si="25"/>
        <v/>
      </c>
      <c r="S175" s="89" t="str">
        <f t="shared" si="25"/>
        <v/>
      </c>
      <c r="T175" s="89" t="str">
        <f t="shared" si="25"/>
        <v/>
      </c>
      <c r="U175" s="254" t="str">
        <f t="shared" si="25"/>
        <v>y</v>
      </c>
      <c r="V175" s="308"/>
      <c r="W175" s="309" t="str" cm="1">
        <f t="array" ref="W175">_xlfn.IFS(AND(Q175="y",$D175="Local"), 1, AND(Q175="y",$D175&lt;&gt;"Local"),1.49009696454663%, Q175="","")</f>
        <v/>
      </c>
      <c r="X175" s="272" t="str" cm="1">
        <f t="array" ref="X175">_xlfn.IFS(AND(R175="y",$D175="Local"), 1, AND(R175="y",$D175&lt;&gt;"Local"),20.7557554582461%, R175="","")</f>
        <v/>
      </c>
      <c r="Y175" s="272" t="str" cm="1">
        <f t="array" ref="Y175">_xlfn.IFS(AND(S175="y",$D175="Local"), 1, AND(S175="y",$D175&lt;&gt;"Local"),30.3499104327336%, S175="","")</f>
        <v/>
      </c>
      <c r="Z175" s="272" t="str" cm="1">
        <f t="array" ref="Z175">_xlfn.IFS(AND(T175="y",$D175="Local"), 1, AND(T175="y",$D175&lt;&gt;"Local"),29.0043833288201%, T175="","")</f>
        <v/>
      </c>
      <c r="AA175" s="272" cm="1">
        <f t="array" ref="AA175">_xlfn.IFS(AND(U175="y",$D175="Local"), 1, AND(U175="y",$D175&lt;&gt;"Local"),18.3998538156536%, U175="","")</f>
        <v>1</v>
      </c>
      <c r="AB175" s="68">
        <f t="shared" si="27"/>
        <v>1</v>
      </c>
      <c r="AD175" s="306" t="str">
        <f t="shared" si="28"/>
        <v/>
      </c>
      <c r="AE175" s="242" t="str">
        <f t="shared" si="29"/>
        <v/>
      </c>
      <c r="AF175" s="242" t="str">
        <f t="shared" si="30"/>
        <v/>
      </c>
      <c r="AG175" s="242" t="str">
        <f t="shared" si="31"/>
        <v/>
      </c>
      <c r="AH175" s="352">
        <f t="shared" si="32"/>
        <v>166910.39999999999</v>
      </c>
    </row>
    <row r="176" spans="2:34">
      <c r="B176" s="166" t="s">
        <v>304</v>
      </c>
      <c r="C176" s="150"/>
      <c r="D176" s="150" t="s">
        <v>118</v>
      </c>
      <c r="E176" s="150" t="s">
        <v>141</v>
      </c>
      <c r="F176" s="150" t="s">
        <v>727</v>
      </c>
      <c r="G176" s="146"/>
      <c r="H176" s="155"/>
      <c r="I176" s="135">
        <f t="shared" si="33"/>
        <v>0</v>
      </c>
      <c r="J176" s="147"/>
      <c r="K176" s="155">
        <v>288.30271687357998</v>
      </c>
      <c r="L176" s="88">
        <f t="shared" si="34"/>
        <v>753.88467495887699</v>
      </c>
      <c r="M176" s="160">
        <v>217347</v>
      </c>
      <c r="N176" s="167">
        <v>2016</v>
      </c>
      <c r="O176" s="167">
        <f>IFERROR(('General Input Sheet'!$G$38/(VLOOKUP(N176,'General Input Sheet'!$E$38:$G$44,3,FALSE))),1)</f>
        <v>1</v>
      </c>
      <c r="P176" s="189">
        <f t="shared" si="26"/>
        <v>217347</v>
      </c>
      <c r="Q176" s="89" t="str">
        <f t="shared" si="25"/>
        <v>y</v>
      </c>
      <c r="R176" s="89" t="str">
        <f t="shared" si="25"/>
        <v>y</v>
      </c>
      <c r="S176" s="89" t="str">
        <f t="shared" si="25"/>
        <v>y</v>
      </c>
      <c r="T176" s="89" t="str">
        <f t="shared" si="25"/>
        <v>y</v>
      </c>
      <c r="U176" s="254" t="str">
        <f t="shared" si="25"/>
        <v>y</v>
      </c>
      <c r="V176" s="308"/>
      <c r="W176" s="309" cm="1">
        <f t="array" ref="W176">_xlfn.IFS(AND(Q176="y",$D176="Local"), 1, AND(Q176="y",$D176&lt;&gt;"Local"),1.49009696454663%, Q176="","")</f>
        <v>1.49009696454663E-2</v>
      </c>
      <c r="X176" s="272" cm="1">
        <f t="array" ref="X176">_xlfn.IFS(AND(R176="y",$D176="Local"), 1, AND(R176="y",$D176&lt;&gt;"Local"),20.7557554582461%, R176="","")</f>
        <v>0.207557554582461</v>
      </c>
      <c r="Y176" s="272" cm="1">
        <f t="array" ref="Y176">_xlfn.IFS(AND(S176="y",$D176="Local"), 1, AND(S176="y",$D176&lt;&gt;"Local"),30.3499104327336%, S176="","")</f>
        <v>0.30349910432733601</v>
      </c>
      <c r="Z176" s="272" cm="1">
        <f t="array" ref="Z176">_xlfn.IFS(AND(T176="y",$D176="Local"), 1, AND(T176="y",$D176&lt;&gt;"Local"),29.0043833288201%, T176="","")</f>
        <v>0.29004383328820099</v>
      </c>
      <c r="AA176" s="272" cm="1">
        <f t="array" ref="AA176">_xlfn.IFS(AND(U176="y",$D176="Local"), 1, AND(U176="y",$D176&lt;&gt;"Local"),18.3998538156536%, U176="","")</f>
        <v>0.183998538156536</v>
      </c>
      <c r="AB176" s="68">
        <f t="shared" si="27"/>
        <v>1.0000000000000004</v>
      </c>
      <c r="AD176" s="306">
        <f t="shared" si="28"/>
        <v>3238.6810495331624</v>
      </c>
      <c r="AE176" s="242">
        <f t="shared" si="29"/>
        <v>45112.011815834136</v>
      </c>
      <c r="AF176" s="242">
        <f t="shared" si="30"/>
        <v>65964.619828233481</v>
      </c>
      <c r="AG176" s="242">
        <f t="shared" si="31"/>
        <v>63040.157033690593</v>
      </c>
      <c r="AH176" s="352">
        <f t="shared" si="32"/>
        <v>39991.530272708609</v>
      </c>
    </row>
    <row r="177" spans="2:34">
      <c r="B177" s="166" t="s">
        <v>305</v>
      </c>
      <c r="C177" s="150"/>
      <c r="D177" s="150" t="s">
        <v>118</v>
      </c>
      <c r="E177" s="150" t="s">
        <v>143</v>
      </c>
      <c r="F177" s="150" t="s">
        <v>728</v>
      </c>
      <c r="G177" s="146"/>
      <c r="H177" s="155"/>
      <c r="I177" s="135">
        <f t="shared" si="33"/>
        <v>0</v>
      </c>
      <c r="J177" s="147"/>
      <c r="K177" s="155">
        <v>584.47901338154395</v>
      </c>
      <c r="L177" s="88">
        <f t="shared" si="34"/>
        <v>472.58153616490824</v>
      </c>
      <c r="M177" s="160">
        <v>276213.99</v>
      </c>
      <c r="N177" s="167">
        <v>2016</v>
      </c>
      <c r="O177" s="167">
        <f>IFERROR(('General Input Sheet'!$G$38/(VLOOKUP(N177,'General Input Sheet'!$E$38:$G$44,3,FALSE))),1)</f>
        <v>1</v>
      </c>
      <c r="P177" s="189">
        <f t="shared" si="26"/>
        <v>276213.99</v>
      </c>
      <c r="Q177" s="89" t="str">
        <f t="shared" si="25"/>
        <v>y</v>
      </c>
      <c r="R177" s="89" t="str">
        <f t="shared" si="25"/>
        <v>y</v>
      </c>
      <c r="S177" s="89" t="str">
        <f t="shared" si="25"/>
        <v>y</v>
      </c>
      <c r="T177" s="89" t="str">
        <f t="shared" si="25"/>
        <v>y</v>
      </c>
      <c r="U177" s="254" t="str">
        <f t="shared" si="25"/>
        <v>y</v>
      </c>
      <c r="V177" s="308"/>
      <c r="W177" s="309" cm="1">
        <f t="array" ref="W177">_xlfn.IFS(AND(Q177="y",$D177="Local"), 1, AND(Q177="y",$D177&lt;&gt;"Local"),1.49009696454663%, Q177="","")</f>
        <v>1.49009696454663E-2</v>
      </c>
      <c r="X177" s="272" cm="1">
        <f t="array" ref="X177">_xlfn.IFS(AND(R177="y",$D177="Local"), 1, AND(R177="y",$D177&lt;&gt;"Local"),20.7557554582461%, R177="","")</f>
        <v>0.207557554582461</v>
      </c>
      <c r="Y177" s="272" cm="1">
        <f t="array" ref="Y177">_xlfn.IFS(AND(S177="y",$D177="Local"), 1, AND(S177="y",$D177&lt;&gt;"Local"),30.3499104327336%, S177="","")</f>
        <v>0.30349910432733601</v>
      </c>
      <c r="Z177" s="272" cm="1">
        <f t="array" ref="Z177">_xlfn.IFS(AND(T177="y",$D177="Local"), 1, AND(T177="y",$D177&lt;&gt;"Local"),29.0043833288201%, T177="","")</f>
        <v>0.29004383328820099</v>
      </c>
      <c r="AA177" s="272" cm="1">
        <f t="array" ref="AA177">_xlfn.IFS(AND(U177="y",$D177="Local"), 1, AND(U177="y",$D177&lt;&gt;"Local"),18.3998538156536%, U177="","")</f>
        <v>0.183998538156536</v>
      </c>
      <c r="AB177" s="68">
        <f t="shared" si="27"/>
        <v>1.0000000000000004</v>
      </c>
      <c r="AD177" s="306">
        <f t="shared" si="28"/>
        <v>4115.85628064313</v>
      </c>
      <c r="AE177" s="242">
        <f t="shared" si="29"/>
        <v>57330.300305864315</v>
      </c>
      <c r="AF177" s="242">
        <f t="shared" si="30"/>
        <v>83830.698567679719</v>
      </c>
      <c r="AG177" s="242">
        <f t="shared" si="31"/>
        <v>80114.164467428782</v>
      </c>
      <c r="AH177" s="352">
        <f t="shared" si="32"/>
        <v>50822.97037838403</v>
      </c>
    </row>
    <row r="178" spans="2:34">
      <c r="B178" s="166" t="s">
        <v>306</v>
      </c>
      <c r="C178" s="150"/>
      <c r="D178" s="150" t="s">
        <v>118</v>
      </c>
      <c r="E178" s="150" t="s">
        <v>141</v>
      </c>
      <c r="F178" s="150" t="s">
        <v>729</v>
      </c>
      <c r="G178" s="146"/>
      <c r="H178" s="155"/>
      <c r="I178" s="135">
        <f t="shared" si="33"/>
        <v>0</v>
      </c>
      <c r="J178" s="147"/>
      <c r="K178" s="155">
        <v>394.80568295782302</v>
      </c>
      <c r="L178" s="88">
        <f t="shared" si="34"/>
        <v>470.7496827492597</v>
      </c>
      <c r="M178" s="160">
        <v>185854.65</v>
      </c>
      <c r="N178" s="167">
        <v>2016</v>
      </c>
      <c r="O178" s="167">
        <f>IFERROR(('General Input Sheet'!$G$38/(VLOOKUP(N178,'General Input Sheet'!$E$38:$G$44,3,FALSE))),1)</f>
        <v>1</v>
      </c>
      <c r="P178" s="189">
        <f t="shared" si="26"/>
        <v>185854.65</v>
      </c>
      <c r="Q178" s="89" t="str">
        <f t="shared" si="25"/>
        <v>y</v>
      </c>
      <c r="R178" s="89" t="str">
        <f t="shared" si="25"/>
        <v>y</v>
      </c>
      <c r="S178" s="89" t="str">
        <f t="shared" si="25"/>
        <v>y</v>
      </c>
      <c r="T178" s="89" t="str">
        <f t="shared" si="25"/>
        <v>y</v>
      </c>
      <c r="U178" s="254" t="str">
        <f t="shared" si="25"/>
        <v>y</v>
      </c>
      <c r="V178" s="308"/>
      <c r="W178" s="309" cm="1">
        <f t="array" ref="W178">_xlfn.IFS(AND(Q178="y",$D178="Local"), 1, AND(Q178="y",$D178&lt;&gt;"Local"),1.49009696454663%, Q178="","")</f>
        <v>1.49009696454663E-2</v>
      </c>
      <c r="X178" s="272" cm="1">
        <f t="array" ref="X178">_xlfn.IFS(AND(R178="y",$D178="Local"), 1, AND(R178="y",$D178&lt;&gt;"Local"),20.7557554582461%, R178="","")</f>
        <v>0.207557554582461</v>
      </c>
      <c r="Y178" s="272" cm="1">
        <f t="array" ref="Y178">_xlfn.IFS(AND(S178="y",$D178="Local"), 1, AND(S178="y",$D178&lt;&gt;"Local"),30.3499104327336%, S178="","")</f>
        <v>0.30349910432733601</v>
      </c>
      <c r="Z178" s="272" cm="1">
        <f t="array" ref="Z178">_xlfn.IFS(AND(T178="y",$D178="Local"), 1, AND(T178="y",$D178&lt;&gt;"Local"),29.0043833288201%, T178="","")</f>
        <v>0.29004383328820099</v>
      </c>
      <c r="AA178" s="272" cm="1">
        <f t="array" ref="AA178">_xlfn.IFS(AND(U178="y",$D178="Local"), 1, AND(U178="y",$D178&lt;&gt;"Local"),18.3998538156536%, U178="","")</f>
        <v>0.183998538156536</v>
      </c>
      <c r="AB178" s="68">
        <f t="shared" si="27"/>
        <v>1.0000000000000004</v>
      </c>
      <c r="AD178" s="306">
        <f t="shared" si="28"/>
        <v>2769.4144981187619</v>
      </c>
      <c r="AE178" s="242">
        <f t="shared" si="29"/>
        <v>38575.536661779166</v>
      </c>
      <c r="AF178" s="242">
        <f t="shared" si="30"/>
        <v>56406.719810070499</v>
      </c>
      <c r="AG178" s="242">
        <f t="shared" si="31"/>
        <v>53905.995120436921</v>
      </c>
      <c r="AH178" s="352">
        <f t="shared" si="32"/>
        <v>34196.983909594623</v>
      </c>
    </row>
    <row r="179" spans="2:34">
      <c r="B179" s="166" t="s">
        <v>307</v>
      </c>
      <c r="C179" s="150"/>
      <c r="D179" s="150" t="s">
        <v>118</v>
      </c>
      <c r="E179" s="150" t="s">
        <v>141</v>
      </c>
      <c r="F179" s="150" t="s">
        <v>730</v>
      </c>
      <c r="G179" s="146"/>
      <c r="H179" s="155"/>
      <c r="I179" s="135">
        <f t="shared" si="33"/>
        <v>0</v>
      </c>
      <c r="J179" s="147"/>
      <c r="K179" s="155">
        <v>1172.2367212274401</v>
      </c>
      <c r="L179" s="88">
        <f t="shared" si="34"/>
        <v>60.815566266643259</v>
      </c>
      <c r="M179" s="160">
        <v>71290.240000000005</v>
      </c>
      <c r="N179" s="167">
        <v>2016</v>
      </c>
      <c r="O179" s="167">
        <f>IFERROR(('General Input Sheet'!$G$38/(VLOOKUP(N179,'General Input Sheet'!$E$38:$G$44,3,FALSE))),1)</f>
        <v>1</v>
      </c>
      <c r="P179" s="189">
        <f t="shared" si="26"/>
        <v>71290.240000000005</v>
      </c>
      <c r="Q179" s="89" t="str">
        <f t="shared" si="25"/>
        <v>y</v>
      </c>
      <c r="R179" s="89" t="str">
        <f t="shared" si="25"/>
        <v>y</v>
      </c>
      <c r="S179" s="89" t="str">
        <f t="shared" si="25"/>
        <v>y</v>
      </c>
      <c r="T179" s="89" t="str">
        <f t="shared" si="25"/>
        <v>y</v>
      </c>
      <c r="U179" s="254" t="str">
        <f t="shared" si="25"/>
        <v>y</v>
      </c>
      <c r="V179" s="308"/>
      <c r="W179" s="309" cm="1">
        <f t="array" ref="W179">_xlfn.IFS(AND(Q179="y",$D179="Local"), 1, AND(Q179="y",$D179&lt;&gt;"Local"),1.49009696454663%, Q179="","")</f>
        <v>1.49009696454663E-2</v>
      </c>
      <c r="X179" s="272" cm="1">
        <f t="array" ref="X179">_xlfn.IFS(AND(R179="y",$D179="Local"), 1, AND(R179="y",$D179&lt;&gt;"Local"),20.7557554582461%, R179="","")</f>
        <v>0.207557554582461</v>
      </c>
      <c r="Y179" s="272" cm="1">
        <f t="array" ref="Y179">_xlfn.IFS(AND(S179="y",$D179="Local"), 1, AND(S179="y",$D179&lt;&gt;"Local"),30.3499104327336%, S179="","")</f>
        <v>0.30349910432733601</v>
      </c>
      <c r="Z179" s="272" cm="1">
        <f t="array" ref="Z179">_xlfn.IFS(AND(T179="y",$D179="Local"), 1, AND(T179="y",$D179&lt;&gt;"Local"),29.0043833288201%, T179="","")</f>
        <v>0.29004383328820099</v>
      </c>
      <c r="AA179" s="272" cm="1">
        <f t="array" ref="AA179">_xlfn.IFS(AND(U179="y",$D179="Local"), 1, AND(U179="y",$D179&lt;&gt;"Local"),18.3998538156536%, U179="","")</f>
        <v>0.183998538156536</v>
      </c>
      <c r="AB179" s="68">
        <f t="shared" si="27"/>
        <v>1.0000000000000004</v>
      </c>
      <c r="AD179" s="306">
        <f t="shared" si="28"/>
        <v>1062.293702258007</v>
      </c>
      <c r="AE179" s="242">
        <f t="shared" si="29"/>
        <v>14796.827879996739</v>
      </c>
      <c r="AF179" s="242">
        <f t="shared" si="30"/>
        <v>21636.523987280816</v>
      </c>
      <c r="AG179" s="242">
        <f t="shared" si="31"/>
        <v>20677.29448563583</v>
      </c>
      <c r="AH179" s="352">
        <f t="shared" si="32"/>
        <v>13117.299944828605</v>
      </c>
    </row>
    <row r="180" spans="2:34">
      <c r="B180" s="166" t="s">
        <v>308</v>
      </c>
      <c r="C180" s="150"/>
      <c r="D180" s="150" t="s">
        <v>116</v>
      </c>
      <c r="E180" s="150" t="s">
        <v>141</v>
      </c>
      <c r="F180" s="150" t="s">
        <v>731</v>
      </c>
      <c r="G180" s="146">
        <v>56000</v>
      </c>
      <c r="H180" s="155">
        <v>264</v>
      </c>
      <c r="I180" s="135">
        <f t="shared" si="33"/>
        <v>45</v>
      </c>
      <c r="J180" s="147">
        <v>67880</v>
      </c>
      <c r="K180" s="155">
        <v>1640.4357484100001</v>
      </c>
      <c r="L180" s="88">
        <f t="shared" si="34"/>
        <v>172.67663806677942</v>
      </c>
      <c r="M180" s="160">
        <v>283264.93</v>
      </c>
      <c r="N180" s="167">
        <v>2016</v>
      </c>
      <c r="O180" s="167">
        <f>IFERROR(('General Input Sheet'!$G$38/(VLOOKUP(N180,'General Input Sheet'!$E$38:$G$44,3,FALSE))),1)</f>
        <v>1</v>
      </c>
      <c r="P180" s="189">
        <f t="shared" si="26"/>
        <v>351144.93</v>
      </c>
      <c r="Q180" s="89" t="str">
        <f t="shared" si="25"/>
        <v/>
      </c>
      <c r="R180" s="89" t="str">
        <f t="shared" si="25"/>
        <v/>
      </c>
      <c r="S180" s="89" t="str">
        <f t="shared" si="25"/>
        <v>y</v>
      </c>
      <c r="T180" s="89" t="str">
        <f t="shared" si="25"/>
        <v/>
      </c>
      <c r="U180" s="254" t="str">
        <f t="shared" si="25"/>
        <v/>
      </c>
      <c r="V180" s="308"/>
      <c r="W180" s="309" t="str" cm="1">
        <f t="array" ref="W180">_xlfn.IFS(AND(Q180="y",$D180="Local"), 1, AND(Q180="y",$D180&lt;&gt;"Local"),1.49009696454663%, Q180="","")</f>
        <v/>
      </c>
      <c r="X180" s="272" t="str" cm="1">
        <f t="array" ref="X180">_xlfn.IFS(AND(R180="y",$D180="Local"), 1, AND(R180="y",$D180&lt;&gt;"Local"),20.7557554582461%, R180="","")</f>
        <v/>
      </c>
      <c r="Y180" s="272" cm="1">
        <f t="array" ref="Y180">_xlfn.IFS(AND(S180="y",$D180="Local"), 1, AND(S180="y",$D180&lt;&gt;"Local"),30.3499104327336%, S180="","")</f>
        <v>1</v>
      </c>
      <c r="Z180" s="272" t="str" cm="1">
        <f t="array" ref="Z180">_xlfn.IFS(AND(T180="y",$D180="Local"), 1, AND(T180="y",$D180&lt;&gt;"Local"),29.0043833288201%, T180="","")</f>
        <v/>
      </c>
      <c r="AA180" s="272" t="str" cm="1">
        <f t="array" ref="AA180">_xlfn.IFS(AND(U180="y",$D180="Local"), 1, AND(U180="y",$D180&lt;&gt;"Local"),18.3998538156536%, U180="","")</f>
        <v/>
      </c>
      <c r="AB180" s="68">
        <f t="shared" si="27"/>
        <v>1</v>
      </c>
      <c r="AD180" s="306" t="str">
        <f t="shared" si="28"/>
        <v/>
      </c>
      <c r="AE180" s="242" t="str">
        <f t="shared" si="29"/>
        <v/>
      </c>
      <c r="AF180" s="242">
        <f t="shared" si="30"/>
        <v>351144.93</v>
      </c>
      <c r="AG180" s="242" t="str">
        <f t="shared" si="31"/>
        <v/>
      </c>
      <c r="AH180" s="352" t="str">
        <f t="shared" si="32"/>
        <v/>
      </c>
    </row>
    <row r="181" spans="2:34">
      <c r="B181" s="166" t="s">
        <v>309</v>
      </c>
      <c r="C181" s="150"/>
      <c r="D181" s="150" t="s">
        <v>118</v>
      </c>
      <c r="E181" s="150" t="s">
        <v>140</v>
      </c>
      <c r="F181" s="150" t="s">
        <v>732</v>
      </c>
      <c r="G181" s="146">
        <v>56000</v>
      </c>
      <c r="H181" s="155">
        <v>1260</v>
      </c>
      <c r="I181" s="135">
        <f t="shared" si="33"/>
        <v>45</v>
      </c>
      <c r="J181" s="147">
        <v>112700</v>
      </c>
      <c r="K181" s="155">
        <v>10775.159856395599</v>
      </c>
      <c r="L181" s="88">
        <f t="shared" si="34"/>
        <v>39.586769540761743</v>
      </c>
      <c r="M181" s="160">
        <v>426553.77</v>
      </c>
      <c r="N181" s="167">
        <v>2016</v>
      </c>
      <c r="O181" s="167">
        <f>IFERROR(('General Input Sheet'!$G$38/(VLOOKUP(N181,'General Input Sheet'!$E$38:$G$44,3,FALSE))),1)</f>
        <v>1</v>
      </c>
      <c r="P181" s="189">
        <f t="shared" si="26"/>
        <v>539253.77</v>
      </c>
      <c r="Q181" s="89" t="str">
        <f t="shared" si="25"/>
        <v>y</v>
      </c>
      <c r="R181" s="89" t="str">
        <f t="shared" si="25"/>
        <v>y</v>
      </c>
      <c r="S181" s="89" t="str">
        <f t="shared" si="25"/>
        <v>y</v>
      </c>
      <c r="T181" s="89" t="str">
        <f t="shared" si="25"/>
        <v>y</v>
      </c>
      <c r="U181" s="254" t="str">
        <f t="shared" si="25"/>
        <v>y</v>
      </c>
      <c r="V181" s="308"/>
      <c r="W181" s="309" cm="1">
        <f t="array" ref="W181">_xlfn.IFS(AND(Q181="y",$D181="Local"), 1, AND(Q181="y",$D181&lt;&gt;"Local"),1.49009696454663%, Q181="","")</f>
        <v>1.49009696454663E-2</v>
      </c>
      <c r="X181" s="272" cm="1">
        <f t="array" ref="X181">_xlfn.IFS(AND(R181="y",$D181="Local"), 1, AND(R181="y",$D181&lt;&gt;"Local"),20.7557554582461%, R181="","")</f>
        <v>0.207557554582461</v>
      </c>
      <c r="Y181" s="272" cm="1">
        <f t="array" ref="Y181">_xlfn.IFS(AND(S181="y",$D181="Local"), 1, AND(S181="y",$D181&lt;&gt;"Local"),30.3499104327336%, S181="","")</f>
        <v>0.30349910432733601</v>
      </c>
      <c r="Z181" s="272" cm="1">
        <f t="array" ref="Z181">_xlfn.IFS(AND(T181="y",$D181="Local"), 1, AND(T181="y",$D181&lt;&gt;"Local"),29.0043833288201%, T181="","")</f>
        <v>0.29004383328820099</v>
      </c>
      <c r="AA181" s="272" cm="1">
        <f t="array" ref="AA181">_xlfn.IFS(AND(U181="y",$D181="Local"), 1, AND(U181="y",$D181&lt;&gt;"Local"),18.3998538156536%, U181="","")</f>
        <v>0.183998538156536</v>
      </c>
      <c r="AB181" s="68">
        <f t="shared" si="27"/>
        <v>1.0000000000000004</v>
      </c>
      <c r="AD181" s="306">
        <f t="shared" si="28"/>
        <v>8035.4040579732628</v>
      </c>
      <c r="AE181" s="242">
        <f t="shared" si="29"/>
        <v>111926.19380057283</v>
      </c>
      <c r="AF181" s="242">
        <f t="shared" si="30"/>
        <v>163663.03620013921</v>
      </c>
      <c r="AG181" s="242">
        <f t="shared" si="31"/>
        <v>156407.23056591384</v>
      </c>
      <c r="AH181" s="352">
        <f t="shared" si="32"/>
        <v>99221.905375400849</v>
      </c>
    </row>
    <row r="182" spans="2:34">
      <c r="B182" s="166" t="s">
        <v>310</v>
      </c>
      <c r="C182" s="150"/>
      <c r="D182" s="150" t="s">
        <v>118</v>
      </c>
      <c r="E182" s="150" t="s">
        <v>143</v>
      </c>
      <c r="F182" s="150" t="s">
        <v>733</v>
      </c>
      <c r="G182" s="146"/>
      <c r="H182" s="155"/>
      <c r="I182" s="135">
        <f t="shared" si="33"/>
        <v>0</v>
      </c>
      <c r="J182" s="147"/>
      <c r="K182" s="155">
        <v>2796.3677454298199</v>
      </c>
      <c r="L182" s="88">
        <f t="shared" si="34"/>
        <v>16.865131589747698</v>
      </c>
      <c r="M182" s="160">
        <v>47161.11</v>
      </c>
      <c r="N182" s="167">
        <v>2016</v>
      </c>
      <c r="O182" s="167">
        <f>IFERROR(('General Input Sheet'!$G$38/(VLOOKUP(N182,'General Input Sheet'!$E$38:$G$44,3,FALSE))),1)</f>
        <v>1</v>
      </c>
      <c r="P182" s="189">
        <f t="shared" si="26"/>
        <v>47161.11</v>
      </c>
      <c r="Q182" s="89" t="str">
        <f t="shared" si="25"/>
        <v>y</v>
      </c>
      <c r="R182" s="89" t="str">
        <f t="shared" si="25"/>
        <v>y</v>
      </c>
      <c r="S182" s="89" t="str">
        <f t="shared" si="25"/>
        <v>y</v>
      </c>
      <c r="T182" s="89" t="str">
        <f t="shared" si="25"/>
        <v>y</v>
      </c>
      <c r="U182" s="254" t="str">
        <f t="shared" si="25"/>
        <v>y</v>
      </c>
      <c r="V182" s="308"/>
      <c r="W182" s="309" cm="1">
        <f t="array" ref="W182">_xlfn.IFS(AND(Q182="y",$D182="Local"), 1, AND(Q182="y",$D182&lt;&gt;"Local"),1.49009696454663%, Q182="","")</f>
        <v>1.49009696454663E-2</v>
      </c>
      <c r="X182" s="272" cm="1">
        <f t="array" ref="X182">_xlfn.IFS(AND(R182="y",$D182="Local"), 1, AND(R182="y",$D182&lt;&gt;"Local"),20.7557554582461%, R182="","")</f>
        <v>0.207557554582461</v>
      </c>
      <c r="Y182" s="272" cm="1">
        <f t="array" ref="Y182">_xlfn.IFS(AND(S182="y",$D182="Local"), 1, AND(S182="y",$D182&lt;&gt;"Local"),30.3499104327336%, S182="","")</f>
        <v>0.30349910432733601</v>
      </c>
      <c r="Z182" s="272" cm="1">
        <f t="array" ref="Z182">_xlfn.IFS(AND(T182="y",$D182="Local"), 1, AND(T182="y",$D182&lt;&gt;"Local"),29.0043833288201%, T182="","")</f>
        <v>0.29004383328820099</v>
      </c>
      <c r="AA182" s="272" cm="1">
        <f t="array" ref="AA182">_xlfn.IFS(AND(U182="y",$D182="Local"), 1, AND(U182="y",$D182&lt;&gt;"Local"),18.3998538156536%, U182="","")</f>
        <v>0.183998538156536</v>
      </c>
      <c r="AB182" s="68">
        <f t="shared" si="27"/>
        <v>1.0000000000000004</v>
      </c>
      <c r="AD182" s="306">
        <f t="shared" si="28"/>
        <v>702.74626855649683</v>
      </c>
      <c r="AE182" s="242">
        <f t="shared" si="29"/>
        <v>9788.6446629944439</v>
      </c>
      <c r="AF182" s="242">
        <f t="shared" si="30"/>
        <v>14313.354644082965</v>
      </c>
      <c r="AG182" s="242">
        <f t="shared" si="31"/>
        <v>13678.789126526504</v>
      </c>
      <c r="AH182" s="352">
        <f t="shared" si="32"/>
        <v>8677.5752978395867</v>
      </c>
    </row>
    <row r="183" spans="2:34">
      <c r="B183" s="166" t="s">
        <v>311</v>
      </c>
      <c r="C183" s="150"/>
      <c r="D183" s="150" t="s">
        <v>118</v>
      </c>
      <c r="E183" s="150" t="s">
        <v>142</v>
      </c>
      <c r="F183" s="150" t="s">
        <v>734</v>
      </c>
      <c r="G183" s="146"/>
      <c r="H183" s="155"/>
      <c r="I183" s="135">
        <f t="shared" si="33"/>
        <v>0</v>
      </c>
      <c r="J183" s="147"/>
      <c r="K183" s="155">
        <v>360.16514463520502</v>
      </c>
      <c r="L183" s="88">
        <f t="shared" si="34"/>
        <v>99.154458814083881</v>
      </c>
      <c r="M183" s="160">
        <v>35711.980000000003</v>
      </c>
      <c r="N183" s="167">
        <v>2016</v>
      </c>
      <c r="O183" s="167">
        <f>IFERROR(('General Input Sheet'!$G$38/(VLOOKUP(N183,'General Input Sheet'!$E$38:$G$44,3,FALSE))),1)</f>
        <v>1</v>
      </c>
      <c r="P183" s="189">
        <f t="shared" si="26"/>
        <v>35711.980000000003</v>
      </c>
      <c r="Q183" s="89" t="str">
        <f t="shared" ref="Q183:U233" si="35">IF(OR(Q$9=$E183,$D183="Metropolitan",$D183="District"),"y","")</f>
        <v>y</v>
      </c>
      <c r="R183" s="89" t="str">
        <f t="shared" si="35"/>
        <v>y</v>
      </c>
      <c r="S183" s="89" t="str">
        <f t="shared" si="35"/>
        <v>y</v>
      </c>
      <c r="T183" s="89" t="str">
        <f t="shared" si="35"/>
        <v>y</v>
      </c>
      <c r="U183" s="254" t="str">
        <f t="shared" si="35"/>
        <v>y</v>
      </c>
      <c r="V183" s="308"/>
      <c r="W183" s="309" cm="1">
        <f t="array" ref="W183">_xlfn.IFS(AND(Q183="y",$D183="Local"), 1, AND(Q183="y",$D183&lt;&gt;"Local"),1.49009696454663%, Q183="","")</f>
        <v>1.49009696454663E-2</v>
      </c>
      <c r="X183" s="272" cm="1">
        <f t="array" ref="X183">_xlfn.IFS(AND(R183="y",$D183="Local"), 1, AND(R183="y",$D183&lt;&gt;"Local"),20.7557554582461%, R183="","")</f>
        <v>0.207557554582461</v>
      </c>
      <c r="Y183" s="272" cm="1">
        <f t="array" ref="Y183">_xlfn.IFS(AND(S183="y",$D183="Local"), 1, AND(S183="y",$D183&lt;&gt;"Local"),30.3499104327336%, S183="","")</f>
        <v>0.30349910432733601</v>
      </c>
      <c r="Z183" s="272" cm="1">
        <f t="array" ref="Z183">_xlfn.IFS(AND(T183="y",$D183="Local"), 1, AND(T183="y",$D183&lt;&gt;"Local"),29.0043833288201%, T183="","")</f>
        <v>0.29004383328820099</v>
      </c>
      <c r="AA183" s="272" cm="1">
        <f t="array" ref="AA183">_xlfn.IFS(AND(U183="y",$D183="Local"), 1, AND(U183="y",$D183&lt;&gt;"Local"),18.3998538156536%, U183="","")</f>
        <v>0.183998538156536</v>
      </c>
      <c r="AB183" s="68">
        <f t="shared" si="27"/>
        <v>1.0000000000000004</v>
      </c>
      <c r="AD183" s="306">
        <f t="shared" si="28"/>
        <v>532.14312995949945</v>
      </c>
      <c r="AE183" s="242">
        <f t="shared" si="29"/>
        <v>7412.2912380977532</v>
      </c>
      <c r="AF183" s="242">
        <f t="shared" si="30"/>
        <v>10838.553943755735</v>
      </c>
      <c r="AG183" s="242">
        <f t="shared" si="31"/>
        <v>10358.039573511565</v>
      </c>
      <c r="AH183" s="352">
        <f t="shared" si="32"/>
        <v>6570.9521146754478</v>
      </c>
    </row>
    <row r="184" spans="2:34">
      <c r="B184" s="166" t="s">
        <v>312</v>
      </c>
      <c r="C184" s="150"/>
      <c r="D184" s="150" t="s">
        <v>118</v>
      </c>
      <c r="E184" s="150" t="s">
        <v>140</v>
      </c>
      <c r="F184" s="150" t="s">
        <v>735</v>
      </c>
      <c r="G184" s="146"/>
      <c r="H184" s="155"/>
      <c r="I184" s="135">
        <f t="shared" si="33"/>
        <v>0</v>
      </c>
      <c r="J184" s="147"/>
      <c r="K184" s="155">
        <v>5320.5772689669502</v>
      </c>
      <c r="L184" s="88">
        <f t="shared" si="34"/>
        <v>40.521559804705326</v>
      </c>
      <c r="M184" s="160">
        <v>215598.09</v>
      </c>
      <c r="N184" s="167">
        <v>2016</v>
      </c>
      <c r="O184" s="167">
        <f>IFERROR(('General Input Sheet'!$G$38/(VLOOKUP(N184,'General Input Sheet'!$E$38:$G$44,3,FALSE))),1)</f>
        <v>1</v>
      </c>
      <c r="P184" s="189">
        <f t="shared" si="26"/>
        <v>215598.09</v>
      </c>
      <c r="Q184" s="89" t="str">
        <f t="shared" si="35"/>
        <v>y</v>
      </c>
      <c r="R184" s="89" t="str">
        <f t="shared" si="35"/>
        <v>y</v>
      </c>
      <c r="S184" s="89" t="str">
        <f t="shared" si="35"/>
        <v>y</v>
      </c>
      <c r="T184" s="89" t="str">
        <f t="shared" si="35"/>
        <v>y</v>
      </c>
      <c r="U184" s="254" t="str">
        <f t="shared" si="35"/>
        <v>y</v>
      </c>
      <c r="V184" s="308"/>
      <c r="W184" s="309" cm="1">
        <f t="array" ref="W184">_xlfn.IFS(AND(Q184="y",$D184="Local"), 1, AND(Q184="y",$D184&lt;&gt;"Local"),1.49009696454663%, Q184="","")</f>
        <v>1.49009696454663E-2</v>
      </c>
      <c r="X184" s="272" cm="1">
        <f t="array" ref="X184">_xlfn.IFS(AND(R184="y",$D184="Local"), 1, AND(R184="y",$D184&lt;&gt;"Local"),20.7557554582461%, R184="","")</f>
        <v>0.207557554582461</v>
      </c>
      <c r="Y184" s="272" cm="1">
        <f t="array" ref="Y184">_xlfn.IFS(AND(S184="y",$D184="Local"), 1, AND(S184="y",$D184&lt;&gt;"Local"),30.3499104327336%, S184="","")</f>
        <v>0.30349910432733601</v>
      </c>
      <c r="Z184" s="272" cm="1">
        <f t="array" ref="Z184">_xlfn.IFS(AND(T184="y",$D184="Local"), 1, AND(T184="y",$D184&lt;&gt;"Local"),29.0043833288201%, T184="","")</f>
        <v>0.29004383328820099</v>
      </c>
      <c r="AA184" s="272" cm="1">
        <f t="array" ref="AA184">_xlfn.IFS(AND(U184="y",$D184="Local"), 1, AND(U184="y",$D184&lt;&gt;"Local"),18.3998538156536%, U184="","")</f>
        <v>0.183998538156536</v>
      </c>
      <c r="AB184" s="68">
        <f t="shared" si="27"/>
        <v>1.0000000000000004</v>
      </c>
      <c r="AD184" s="306">
        <f t="shared" si="28"/>
        <v>3212.62059471051</v>
      </c>
      <c r="AE184" s="242">
        <f t="shared" si="29"/>
        <v>44749.012333049322</v>
      </c>
      <c r="AF184" s="242">
        <f t="shared" si="30"/>
        <v>65433.82720968435</v>
      </c>
      <c r="AG184" s="242">
        <f t="shared" si="31"/>
        <v>62532.896473214525</v>
      </c>
      <c r="AH184" s="352">
        <f t="shared" si="32"/>
        <v>39669.733389341265</v>
      </c>
    </row>
    <row r="185" spans="2:34">
      <c r="B185" s="166" t="s">
        <v>313</v>
      </c>
      <c r="C185" s="150"/>
      <c r="D185" s="150" t="s">
        <v>118</v>
      </c>
      <c r="E185" s="150" t="s">
        <v>143</v>
      </c>
      <c r="F185" s="150" t="s">
        <v>736</v>
      </c>
      <c r="G185" s="146">
        <v>56000</v>
      </c>
      <c r="H185" s="155">
        <v>1730</v>
      </c>
      <c r="I185" s="135">
        <f t="shared" si="33"/>
        <v>45</v>
      </c>
      <c r="J185" s="147">
        <v>133850</v>
      </c>
      <c r="K185" s="155">
        <v>1378.7157774985001</v>
      </c>
      <c r="L185" s="88">
        <f t="shared" si="34"/>
        <v>638.43999203161195</v>
      </c>
      <c r="M185" s="160">
        <v>880227.29</v>
      </c>
      <c r="N185" s="167">
        <v>2016</v>
      </c>
      <c r="O185" s="167">
        <f>IFERROR(('General Input Sheet'!$G$38/(VLOOKUP(N185,'General Input Sheet'!$E$38:$G$44,3,FALSE))),1)</f>
        <v>1</v>
      </c>
      <c r="P185" s="189">
        <f t="shared" si="26"/>
        <v>1014077.29</v>
      </c>
      <c r="Q185" s="89" t="str">
        <f t="shared" si="35"/>
        <v>y</v>
      </c>
      <c r="R185" s="89" t="str">
        <f t="shared" si="35"/>
        <v>y</v>
      </c>
      <c r="S185" s="89" t="str">
        <f t="shared" si="35"/>
        <v>y</v>
      </c>
      <c r="T185" s="89" t="str">
        <f t="shared" si="35"/>
        <v>y</v>
      </c>
      <c r="U185" s="254" t="str">
        <f t="shared" si="35"/>
        <v>y</v>
      </c>
      <c r="V185" s="308"/>
      <c r="W185" s="309" cm="1">
        <f t="array" ref="W185">_xlfn.IFS(AND(Q185="y",$D185="Local"), 1, AND(Q185="y",$D185&lt;&gt;"Local"),1.49009696454663%, Q185="","")</f>
        <v>1.49009696454663E-2</v>
      </c>
      <c r="X185" s="272" cm="1">
        <f t="array" ref="X185">_xlfn.IFS(AND(R185="y",$D185="Local"), 1, AND(R185="y",$D185&lt;&gt;"Local"),20.7557554582461%, R185="","")</f>
        <v>0.207557554582461</v>
      </c>
      <c r="Y185" s="272" cm="1">
        <f t="array" ref="Y185">_xlfn.IFS(AND(S185="y",$D185="Local"), 1, AND(S185="y",$D185&lt;&gt;"Local"),30.3499104327336%, S185="","")</f>
        <v>0.30349910432733601</v>
      </c>
      <c r="Z185" s="272" cm="1">
        <f t="array" ref="Z185">_xlfn.IFS(AND(T185="y",$D185="Local"), 1, AND(T185="y",$D185&lt;&gt;"Local"),29.0043833288201%, T185="","")</f>
        <v>0.29004383328820099</v>
      </c>
      <c r="AA185" s="272" cm="1">
        <f t="array" ref="AA185">_xlfn.IFS(AND(U185="y",$D185="Local"), 1, AND(U185="y",$D185&lt;&gt;"Local"),18.3998538156536%, U185="","")</f>
        <v>0.183998538156536</v>
      </c>
      <c r="AB185" s="68">
        <f t="shared" si="27"/>
        <v>1.0000000000000004</v>
      </c>
      <c r="AD185" s="306">
        <f t="shared" si="28"/>
        <v>15110.73491644672</v>
      </c>
      <c r="AE185" s="242">
        <f t="shared" si="29"/>
        <v>210479.40247000905</v>
      </c>
      <c r="AF185" s="242">
        <f t="shared" si="30"/>
        <v>307771.54923369206</v>
      </c>
      <c r="AG185" s="242">
        <f t="shared" si="31"/>
        <v>294126.86444211053</v>
      </c>
      <c r="AH185" s="352">
        <f t="shared" si="32"/>
        <v>186588.73893774155</v>
      </c>
    </row>
    <row r="186" spans="2:34">
      <c r="B186" s="166" t="s">
        <v>314</v>
      </c>
      <c r="C186" s="150"/>
      <c r="D186" s="150" t="s">
        <v>116</v>
      </c>
      <c r="E186" s="150" t="s">
        <v>141</v>
      </c>
      <c r="F186" s="150" t="s">
        <v>737</v>
      </c>
      <c r="G186" s="146"/>
      <c r="H186" s="155"/>
      <c r="I186" s="135">
        <f t="shared" si="33"/>
        <v>0</v>
      </c>
      <c r="J186" s="147"/>
      <c r="K186" s="155">
        <v>138.57999652580801</v>
      </c>
      <c r="L186" s="88">
        <f t="shared" si="34"/>
        <v>532.27292429801082</v>
      </c>
      <c r="M186" s="160">
        <v>73762.38</v>
      </c>
      <c r="N186" s="167">
        <v>2016</v>
      </c>
      <c r="O186" s="167">
        <f>IFERROR(('General Input Sheet'!$G$38/(VLOOKUP(N186,'General Input Sheet'!$E$38:$G$44,3,FALSE))),1)</f>
        <v>1</v>
      </c>
      <c r="P186" s="189">
        <f t="shared" si="26"/>
        <v>73762.38</v>
      </c>
      <c r="Q186" s="89" t="str">
        <f t="shared" si="35"/>
        <v/>
      </c>
      <c r="R186" s="89" t="str">
        <f t="shared" si="35"/>
        <v/>
      </c>
      <c r="S186" s="89" t="str">
        <f t="shared" si="35"/>
        <v>y</v>
      </c>
      <c r="T186" s="89" t="str">
        <f t="shared" si="35"/>
        <v/>
      </c>
      <c r="U186" s="254" t="str">
        <f t="shared" si="35"/>
        <v/>
      </c>
      <c r="V186" s="308"/>
      <c r="W186" s="309" t="str" cm="1">
        <f t="array" ref="W186">_xlfn.IFS(AND(Q186="y",$D186="Local"), 1, AND(Q186="y",$D186&lt;&gt;"Local"),1.49009696454663%, Q186="","")</f>
        <v/>
      </c>
      <c r="X186" s="272" t="str" cm="1">
        <f t="array" ref="X186">_xlfn.IFS(AND(R186="y",$D186="Local"), 1, AND(R186="y",$D186&lt;&gt;"Local"),20.7557554582461%, R186="","")</f>
        <v/>
      </c>
      <c r="Y186" s="272" cm="1">
        <f t="array" ref="Y186">_xlfn.IFS(AND(S186="y",$D186="Local"), 1, AND(S186="y",$D186&lt;&gt;"Local"),30.3499104327336%, S186="","")</f>
        <v>1</v>
      </c>
      <c r="Z186" s="272" t="str" cm="1">
        <f t="array" ref="Z186">_xlfn.IFS(AND(T186="y",$D186="Local"), 1, AND(T186="y",$D186&lt;&gt;"Local"),29.0043833288201%, T186="","")</f>
        <v/>
      </c>
      <c r="AA186" s="272" t="str" cm="1">
        <f t="array" ref="AA186">_xlfn.IFS(AND(U186="y",$D186="Local"), 1, AND(U186="y",$D186&lt;&gt;"Local"),18.3998538156536%, U186="","")</f>
        <v/>
      </c>
      <c r="AB186" s="68">
        <f t="shared" si="27"/>
        <v>1</v>
      </c>
      <c r="AD186" s="306" t="str">
        <f t="shared" si="28"/>
        <v/>
      </c>
      <c r="AE186" s="242" t="str">
        <f t="shared" si="29"/>
        <v/>
      </c>
      <c r="AF186" s="242">
        <f t="shared" si="30"/>
        <v>73762.38</v>
      </c>
      <c r="AG186" s="242" t="str">
        <f t="shared" si="31"/>
        <v/>
      </c>
      <c r="AH186" s="352" t="str">
        <f t="shared" si="32"/>
        <v/>
      </c>
    </row>
    <row r="187" spans="2:34">
      <c r="B187" s="166" t="s">
        <v>315</v>
      </c>
      <c r="C187" s="150"/>
      <c r="D187" s="150" t="s">
        <v>116</v>
      </c>
      <c r="E187" s="150" t="s">
        <v>141</v>
      </c>
      <c r="F187" s="150" t="s">
        <v>738</v>
      </c>
      <c r="G187" s="146"/>
      <c r="H187" s="155"/>
      <c r="I187" s="135">
        <f t="shared" si="33"/>
        <v>0</v>
      </c>
      <c r="J187" s="147"/>
      <c r="K187" s="155">
        <v>630.57992196264001</v>
      </c>
      <c r="L187" s="88">
        <f t="shared" si="34"/>
        <v>47.078457410445189</v>
      </c>
      <c r="M187" s="160">
        <v>29686.73</v>
      </c>
      <c r="N187" s="167">
        <v>2016</v>
      </c>
      <c r="O187" s="167">
        <f>IFERROR(('General Input Sheet'!$G$38/(VLOOKUP(N187,'General Input Sheet'!$E$38:$G$44,3,FALSE))),1)</f>
        <v>1</v>
      </c>
      <c r="P187" s="189">
        <f t="shared" si="26"/>
        <v>29686.73</v>
      </c>
      <c r="Q187" s="89" t="str">
        <f t="shared" si="35"/>
        <v/>
      </c>
      <c r="R187" s="89" t="str">
        <f t="shared" si="35"/>
        <v/>
      </c>
      <c r="S187" s="89" t="str">
        <f t="shared" si="35"/>
        <v>y</v>
      </c>
      <c r="T187" s="89" t="str">
        <f t="shared" si="35"/>
        <v/>
      </c>
      <c r="U187" s="254" t="str">
        <f t="shared" si="35"/>
        <v/>
      </c>
      <c r="V187" s="308"/>
      <c r="W187" s="309" t="str" cm="1">
        <f t="array" ref="W187">_xlfn.IFS(AND(Q187="y",$D187="Local"), 1, AND(Q187="y",$D187&lt;&gt;"Local"),1.49009696454663%, Q187="","")</f>
        <v/>
      </c>
      <c r="X187" s="272" t="str" cm="1">
        <f t="array" ref="X187">_xlfn.IFS(AND(R187="y",$D187="Local"), 1, AND(R187="y",$D187&lt;&gt;"Local"),20.7557554582461%, R187="","")</f>
        <v/>
      </c>
      <c r="Y187" s="272" cm="1">
        <f t="array" ref="Y187">_xlfn.IFS(AND(S187="y",$D187="Local"), 1, AND(S187="y",$D187&lt;&gt;"Local"),30.3499104327336%, S187="","")</f>
        <v>1</v>
      </c>
      <c r="Z187" s="272" t="str" cm="1">
        <f t="array" ref="Z187">_xlfn.IFS(AND(T187="y",$D187="Local"), 1, AND(T187="y",$D187&lt;&gt;"Local"),29.0043833288201%, T187="","")</f>
        <v/>
      </c>
      <c r="AA187" s="272" t="str" cm="1">
        <f t="array" ref="AA187">_xlfn.IFS(AND(U187="y",$D187="Local"), 1, AND(U187="y",$D187&lt;&gt;"Local"),18.3998538156536%, U187="","")</f>
        <v/>
      </c>
      <c r="AB187" s="68">
        <f t="shared" si="27"/>
        <v>1</v>
      </c>
      <c r="AD187" s="306" t="str">
        <f t="shared" si="28"/>
        <v/>
      </c>
      <c r="AE187" s="242" t="str">
        <f t="shared" si="29"/>
        <v/>
      </c>
      <c r="AF187" s="242">
        <f t="shared" si="30"/>
        <v>29686.73</v>
      </c>
      <c r="AG187" s="242" t="str">
        <f t="shared" si="31"/>
        <v/>
      </c>
      <c r="AH187" s="352" t="str">
        <f t="shared" si="32"/>
        <v/>
      </c>
    </row>
    <row r="188" spans="2:34">
      <c r="B188" s="166" t="s">
        <v>316</v>
      </c>
      <c r="C188" s="150"/>
      <c r="D188" s="150" t="s">
        <v>118</v>
      </c>
      <c r="E188" s="150" t="s">
        <v>142</v>
      </c>
      <c r="F188" s="150" t="s">
        <v>739</v>
      </c>
      <c r="G188" s="146"/>
      <c r="H188" s="155"/>
      <c r="I188" s="135">
        <f t="shared" si="33"/>
        <v>0</v>
      </c>
      <c r="J188" s="147"/>
      <c r="K188" s="155">
        <v>298.661905494199</v>
      </c>
      <c r="L188" s="88">
        <f t="shared" si="34"/>
        <v>189.23983594920773</v>
      </c>
      <c r="M188" s="160">
        <v>56518.73</v>
      </c>
      <c r="N188" s="167">
        <v>2016</v>
      </c>
      <c r="O188" s="167">
        <f>IFERROR(('General Input Sheet'!$G$38/(VLOOKUP(N188,'General Input Sheet'!$E$38:$G$44,3,FALSE))),1)</f>
        <v>1</v>
      </c>
      <c r="P188" s="189">
        <f t="shared" si="26"/>
        <v>56518.73</v>
      </c>
      <c r="Q188" s="89" t="str">
        <f t="shared" si="35"/>
        <v>y</v>
      </c>
      <c r="R188" s="89" t="str">
        <f t="shared" si="35"/>
        <v>y</v>
      </c>
      <c r="S188" s="89" t="str">
        <f t="shared" si="35"/>
        <v>y</v>
      </c>
      <c r="T188" s="89" t="str">
        <f t="shared" si="35"/>
        <v>y</v>
      </c>
      <c r="U188" s="254" t="str">
        <f t="shared" si="35"/>
        <v>y</v>
      </c>
      <c r="V188" s="308"/>
      <c r="W188" s="309" cm="1">
        <f t="array" ref="W188">_xlfn.IFS(AND(Q188="y",$D188="Local"), 1, AND(Q188="y",$D188&lt;&gt;"Local"),1.49009696454663%, Q188="","")</f>
        <v>1.49009696454663E-2</v>
      </c>
      <c r="X188" s="272" cm="1">
        <f t="array" ref="X188">_xlfn.IFS(AND(R188="y",$D188="Local"), 1, AND(R188="y",$D188&lt;&gt;"Local"),20.7557554582461%, R188="","")</f>
        <v>0.207557554582461</v>
      </c>
      <c r="Y188" s="272" cm="1">
        <f t="array" ref="Y188">_xlfn.IFS(AND(S188="y",$D188="Local"), 1, AND(S188="y",$D188&lt;&gt;"Local"),30.3499104327336%, S188="","")</f>
        <v>0.30349910432733601</v>
      </c>
      <c r="Z188" s="272" cm="1">
        <f t="array" ref="Z188">_xlfn.IFS(AND(T188="y",$D188="Local"), 1, AND(T188="y",$D188&lt;&gt;"Local"),29.0043833288201%, T188="","")</f>
        <v>0.29004383328820099</v>
      </c>
      <c r="AA188" s="272" cm="1">
        <f t="array" ref="AA188">_xlfn.IFS(AND(U188="y",$D188="Local"), 1, AND(U188="y",$D188&lt;&gt;"Local"),18.3998538156536%, U188="","")</f>
        <v>0.183998538156536</v>
      </c>
      <c r="AB188" s="68">
        <f t="shared" si="27"/>
        <v>1.0000000000000004</v>
      </c>
      <c r="AD188" s="306">
        <f t="shared" si="28"/>
        <v>842.18388013030517</v>
      </c>
      <c r="AE188" s="242">
        <f t="shared" si="29"/>
        <v>11730.889386906372</v>
      </c>
      <c r="AF188" s="242">
        <f t="shared" si="30"/>
        <v>17153.383932718531</v>
      </c>
      <c r="AG188" s="242">
        <f t="shared" si="31"/>
        <v>16392.909101780839</v>
      </c>
      <c r="AH188" s="352">
        <f t="shared" si="32"/>
        <v>10399.363698463952</v>
      </c>
    </row>
    <row r="189" spans="2:34">
      <c r="B189" s="166" t="s">
        <v>317</v>
      </c>
      <c r="C189" s="150"/>
      <c r="D189" s="150" t="s">
        <v>116</v>
      </c>
      <c r="E189" s="150" t="s">
        <v>141</v>
      </c>
      <c r="F189" s="150" t="s">
        <v>740</v>
      </c>
      <c r="G189" s="146"/>
      <c r="H189" s="155"/>
      <c r="I189" s="135">
        <f t="shared" si="33"/>
        <v>0</v>
      </c>
      <c r="J189" s="147"/>
      <c r="K189" s="155">
        <v>125.783429334392</v>
      </c>
      <c r="L189" s="88">
        <f t="shared" si="34"/>
        <v>3.1800691244997809E-3</v>
      </c>
      <c r="M189" s="160">
        <v>0.4</v>
      </c>
      <c r="N189" s="167">
        <v>2016</v>
      </c>
      <c r="O189" s="167">
        <f>IFERROR(('General Input Sheet'!$G$38/(VLOOKUP(N189,'General Input Sheet'!$E$38:$G$44,3,FALSE))),1)</f>
        <v>1</v>
      </c>
      <c r="P189" s="189">
        <f t="shared" si="26"/>
        <v>0.4</v>
      </c>
      <c r="Q189" s="89" t="str">
        <f t="shared" si="35"/>
        <v/>
      </c>
      <c r="R189" s="89" t="str">
        <f t="shared" si="35"/>
        <v/>
      </c>
      <c r="S189" s="89" t="str">
        <f t="shared" si="35"/>
        <v>y</v>
      </c>
      <c r="T189" s="89" t="str">
        <f t="shared" si="35"/>
        <v/>
      </c>
      <c r="U189" s="254" t="str">
        <f t="shared" si="35"/>
        <v/>
      </c>
      <c r="V189" s="308"/>
      <c r="W189" s="309" t="str" cm="1">
        <f t="array" ref="W189">_xlfn.IFS(AND(Q189="y",$D189="Local"), 1, AND(Q189="y",$D189&lt;&gt;"Local"),1.49009696454663%, Q189="","")</f>
        <v/>
      </c>
      <c r="X189" s="272" t="str" cm="1">
        <f t="array" ref="X189">_xlfn.IFS(AND(R189="y",$D189="Local"), 1, AND(R189="y",$D189&lt;&gt;"Local"),20.7557554582461%, R189="","")</f>
        <v/>
      </c>
      <c r="Y189" s="272" cm="1">
        <f t="array" ref="Y189">_xlfn.IFS(AND(S189="y",$D189="Local"), 1, AND(S189="y",$D189&lt;&gt;"Local"),30.3499104327336%, S189="","")</f>
        <v>1</v>
      </c>
      <c r="Z189" s="272" t="str" cm="1">
        <f t="array" ref="Z189">_xlfn.IFS(AND(T189="y",$D189="Local"), 1, AND(T189="y",$D189&lt;&gt;"Local"),29.0043833288201%, T189="","")</f>
        <v/>
      </c>
      <c r="AA189" s="272" t="str" cm="1">
        <f t="array" ref="AA189">_xlfn.IFS(AND(U189="y",$D189="Local"), 1, AND(U189="y",$D189&lt;&gt;"Local"),18.3998538156536%, U189="","")</f>
        <v/>
      </c>
      <c r="AB189" s="68">
        <f t="shared" si="27"/>
        <v>1</v>
      </c>
      <c r="AD189" s="306" t="str">
        <f t="shared" si="28"/>
        <v/>
      </c>
      <c r="AE189" s="242" t="str">
        <f t="shared" si="29"/>
        <v/>
      </c>
      <c r="AF189" s="242">
        <f t="shared" si="30"/>
        <v>0.4</v>
      </c>
      <c r="AG189" s="242" t="str">
        <f t="shared" si="31"/>
        <v/>
      </c>
      <c r="AH189" s="352" t="str">
        <f t="shared" si="32"/>
        <v/>
      </c>
    </row>
    <row r="190" spans="2:34">
      <c r="B190" s="166" t="s">
        <v>318</v>
      </c>
      <c r="C190" s="150"/>
      <c r="D190" s="150" t="s">
        <v>116</v>
      </c>
      <c r="E190" s="150" t="s">
        <v>142</v>
      </c>
      <c r="F190" s="150" t="s">
        <v>741</v>
      </c>
      <c r="G190" s="146">
        <v>56000</v>
      </c>
      <c r="H190" s="155">
        <v>90</v>
      </c>
      <c r="I190" s="135">
        <f t="shared" si="33"/>
        <v>45</v>
      </c>
      <c r="J190" s="147">
        <v>60050</v>
      </c>
      <c r="K190" s="155">
        <v>185.27697482205201</v>
      </c>
      <c r="L190" s="88">
        <f t="shared" si="34"/>
        <v>295.01895771181512</v>
      </c>
      <c r="M190" s="160">
        <v>54660.22</v>
      </c>
      <c r="N190" s="167">
        <v>2016</v>
      </c>
      <c r="O190" s="167">
        <f>IFERROR(('General Input Sheet'!$G$38/(VLOOKUP(N190,'General Input Sheet'!$E$38:$G$44,3,FALSE))),1)</f>
        <v>1</v>
      </c>
      <c r="P190" s="189">
        <f t="shared" si="26"/>
        <v>114710.22</v>
      </c>
      <c r="Q190" s="89" t="str">
        <f t="shared" si="35"/>
        <v/>
      </c>
      <c r="R190" s="89" t="str">
        <f t="shared" si="35"/>
        <v/>
      </c>
      <c r="S190" s="89" t="str">
        <f t="shared" si="35"/>
        <v/>
      </c>
      <c r="T190" s="89" t="str">
        <f t="shared" si="35"/>
        <v>y</v>
      </c>
      <c r="U190" s="254" t="str">
        <f t="shared" si="35"/>
        <v/>
      </c>
      <c r="V190" s="308"/>
      <c r="W190" s="309" t="str" cm="1">
        <f t="array" ref="W190">_xlfn.IFS(AND(Q190="y",$D190="Local"), 1, AND(Q190="y",$D190&lt;&gt;"Local"),1.49009696454663%, Q190="","")</f>
        <v/>
      </c>
      <c r="X190" s="272" t="str" cm="1">
        <f t="array" ref="X190">_xlfn.IFS(AND(R190="y",$D190="Local"), 1, AND(R190="y",$D190&lt;&gt;"Local"),20.7557554582461%, R190="","")</f>
        <v/>
      </c>
      <c r="Y190" s="272" t="str" cm="1">
        <f t="array" ref="Y190">_xlfn.IFS(AND(S190="y",$D190="Local"), 1, AND(S190="y",$D190&lt;&gt;"Local"),30.3499104327336%, S190="","")</f>
        <v/>
      </c>
      <c r="Z190" s="272" cm="1">
        <f t="array" ref="Z190">_xlfn.IFS(AND(T190="y",$D190="Local"), 1, AND(T190="y",$D190&lt;&gt;"Local"),29.0043833288201%, T190="","")</f>
        <v>1</v>
      </c>
      <c r="AA190" s="272" t="str" cm="1">
        <f t="array" ref="AA190">_xlfn.IFS(AND(U190="y",$D190="Local"), 1, AND(U190="y",$D190&lt;&gt;"Local"),18.3998538156536%, U190="","")</f>
        <v/>
      </c>
      <c r="AB190" s="68">
        <f t="shared" si="27"/>
        <v>1</v>
      </c>
      <c r="AD190" s="306" t="str">
        <f t="shared" si="28"/>
        <v/>
      </c>
      <c r="AE190" s="242" t="str">
        <f t="shared" si="29"/>
        <v/>
      </c>
      <c r="AF190" s="242" t="str">
        <f t="shared" si="30"/>
        <v/>
      </c>
      <c r="AG190" s="242">
        <f t="shared" si="31"/>
        <v>114710.22</v>
      </c>
      <c r="AH190" s="352" t="str">
        <f t="shared" si="32"/>
        <v/>
      </c>
    </row>
    <row r="191" spans="2:34">
      <c r="B191" s="166" t="s">
        <v>319</v>
      </c>
      <c r="C191" s="150"/>
      <c r="D191" s="150" t="s">
        <v>116</v>
      </c>
      <c r="E191" s="150" t="s">
        <v>142</v>
      </c>
      <c r="F191" s="150" t="s">
        <v>742</v>
      </c>
      <c r="G191" s="146"/>
      <c r="H191" s="155"/>
      <c r="I191" s="135">
        <f t="shared" si="33"/>
        <v>0</v>
      </c>
      <c r="J191" s="147"/>
      <c r="K191" s="155">
        <v>136.12524135746099</v>
      </c>
      <c r="L191" s="88">
        <f t="shared" si="34"/>
        <v>294.98180939533108</v>
      </c>
      <c r="M191" s="160">
        <v>40154.47</v>
      </c>
      <c r="N191" s="167">
        <v>2016</v>
      </c>
      <c r="O191" s="167">
        <f>IFERROR(('General Input Sheet'!$G$38/(VLOOKUP(N191,'General Input Sheet'!$E$38:$G$44,3,FALSE))),1)</f>
        <v>1</v>
      </c>
      <c r="P191" s="189">
        <f t="shared" si="26"/>
        <v>40154.47</v>
      </c>
      <c r="Q191" s="89" t="str">
        <f t="shared" si="35"/>
        <v/>
      </c>
      <c r="R191" s="89" t="str">
        <f t="shared" si="35"/>
        <v/>
      </c>
      <c r="S191" s="89" t="str">
        <f t="shared" si="35"/>
        <v/>
      </c>
      <c r="T191" s="89" t="str">
        <f t="shared" si="35"/>
        <v>y</v>
      </c>
      <c r="U191" s="254" t="str">
        <f t="shared" si="35"/>
        <v/>
      </c>
      <c r="V191" s="308"/>
      <c r="W191" s="309" t="str" cm="1">
        <f t="array" ref="W191">_xlfn.IFS(AND(Q191="y",$D191="Local"), 1, AND(Q191="y",$D191&lt;&gt;"Local"),1.49009696454663%, Q191="","")</f>
        <v/>
      </c>
      <c r="X191" s="272" t="str" cm="1">
        <f t="array" ref="X191">_xlfn.IFS(AND(R191="y",$D191="Local"), 1, AND(R191="y",$D191&lt;&gt;"Local"),20.7557554582461%, R191="","")</f>
        <v/>
      </c>
      <c r="Y191" s="272" t="str" cm="1">
        <f t="array" ref="Y191">_xlfn.IFS(AND(S191="y",$D191="Local"), 1, AND(S191="y",$D191&lt;&gt;"Local"),30.3499104327336%, S191="","")</f>
        <v/>
      </c>
      <c r="Z191" s="272" cm="1">
        <f t="array" ref="Z191">_xlfn.IFS(AND(T191="y",$D191="Local"), 1, AND(T191="y",$D191&lt;&gt;"Local"),29.0043833288201%, T191="","")</f>
        <v>1</v>
      </c>
      <c r="AA191" s="272" t="str" cm="1">
        <f t="array" ref="AA191">_xlfn.IFS(AND(U191="y",$D191="Local"), 1, AND(U191="y",$D191&lt;&gt;"Local"),18.3998538156536%, U191="","")</f>
        <v/>
      </c>
      <c r="AB191" s="68">
        <f t="shared" si="27"/>
        <v>1</v>
      </c>
      <c r="AD191" s="306" t="str">
        <f t="shared" si="28"/>
        <v/>
      </c>
      <c r="AE191" s="242" t="str">
        <f t="shared" si="29"/>
        <v/>
      </c>
      <c r="AF191" s="242" t="str">
        <f t="shared" si="30"/>
        <v/>
      </c>
      <c r="AG191" s="242">
        <f t="shared" si="31"/>
        <v>40154.47</v>
      </c>
      <c r="AH191" s="352" t="str">
        <f t="shared" si="32"/>
        <v/>
      </c>
    </row>
    <row r="192" spans="2:34">
      <c r="B192" s="166" t="s">
        <v>320</v>
      </c>
      <c r="C192" s="150"/>
      <c r="D192" s="150" t="s">
        <v>116</v>
      </c>
      <c r="E192" s="150" t="s">
        <v>142</v>
      </c>
      <c r="F192" s="150" t="s">
        <v>743</v>
      </c>
      <c r="G192" s="146"/>
      <c r="H192" s="155"/>
      <c r="I192" s="135">
        <f t="shared" si="33"/>
        <v>0</v>
      </c>
      <c r="J192" s="147"/>
      <c r="K192" s="155">
        <v>607.06778342111795</v>
      </c>
      <c r="L192" s="88">
        <f t="shared" si="34"/>
        <v>294.96706115894159</v>
      </c>
      <c r="M192" s="160">
        <v>179065</v>
      </c>
      <c r="N192" s="167">
        <v>2016</v>
      </c>
      <c r="O192" s="167">
        <f>IFERROR(('General Input Sheet'!$G$38/(VLOOKUP(N192,'General Input Sheet'!$E$38:$G$44,3,FALSE))),1)</f>
        <v>1</v>
      </c>
      <c r="P192" s="189">
        <f t="shared" si="26"/>
        <v>179065</v>
      </c>
      <c r="Q192" s="89" t="str">
        <f t="shared" si="35"/>
        <v/>
      </c>
      <c r="R192" s="89" t="str">
        <f t="shared" si="35"/>
        <v/>
      </c>
      <c r="S192" s="89" t="str">
        <f t="shared" si="35"/>
        <v/>
      </c>
      <c r="T192" s="89" t="str">
        <f t="shared" si="35"/>
        <v>y</v>
      </c>
      <c r="U192" s="254" t="str">
        <f t="shared" si="35"/>
        <v/>
      </c>
      <c r="V192" s="308"/>
      <c r="W192" s="309" t="str" cm="1">
        <f t="array" ref="W192">_xlfn.IFS(AND(Q192="y",$D192="Local"), 1, AND(Q192="y",$D192&lt;&gt;"Local"),1.49009696454663%, Q192="","")</f>
        <v/>
      </c>
      <c r="X192" s="272" t="str" cm="1">
        <f t="array" ref="X192">_xlfn.IFS(AND(R192="y",$D192="Local"), 1, AND(R192="y",$D192&lt;&gt;"Local"),20.7557554582461%, R192="","")</f>
        <v/>
      </c>
      <c r="Y192" s="272" t="str" cm="1">
        <f t="array" ref="Y192">_xlfn.IFS(AND(S192="y",$D192="Local"), 1, AND(S192="y",$D192&lt;&gt;"Local"),30.3499104327336%, S192="","")</f>
        <v/>
      </c>
      <c r="Z192" s="272" cm="1">
        <f t="array" ref="Z192">_xlfn.IFS(AND(T192="y",$D192="Local"), 1, AND(T192="y",$D192&lt;&gt;"Local"),29.0043833288201%, T192="","")</f>
        <v>1</v>
      </c>
      <c r="AA192" s="272" t="str" cm="1">
        <f t="array" ref="AA192">_xlfn.IFS(AND(U192="y",$D192="Local"), 1, AND(U192="y",$D192&lt;&gt;"Local"),18.3998538156536%, U192="","")</f>
        <v/>
      </c>
      <c r="AB192" s="68">
        <f t="shared" si="27"/>
        <v>1</v>
      </c>
      <c r="AD192" s="306" t="str">
        <f t="shared" si="28"/>
        <v/>
      </c>
      <c r="AE192" s="242" t="str">
        <f t="shared" si="29"/>
        <v/>
      </c>
      <c r="AF192" s="242" t="str">
        <f t="shared" si="30"/>
        <v/>
      </c>
      <c r="AG192" s="242">
        <f t="shared" si="31"/>
        <v>179065</v>
      </c>
      <c r="AH192" s="352" t="str">
        <f t="shared" si="32"/>
        <v/>
      </c>
    </row>
    <row r="193" spans="2:34">
      <c r="B193" s="166" t="s">
        <v>321</v>
      </c>
      <c r="C193" s="150"/>
      <c r="D193" s="150" t="s">
        <v>116</v>
      </c>
      <c r="E193" s="150" t="s">
        <v>142</v>
      </c>
      <c r="F193" s="150" t="s">
        <v>744</v>
      </c>
      <c r="G193" s="146">
        <v>56000</v>
      </c>
      <c r="H193" s="155">
        <v>607</v>
      </c>
      <c r="I193" s="135">
        <f t="shared" si="33"/>
        <v>45</v>
      </c>
      <c r="J193" s="147">
        <v>83315</v>
      </c>
      <c r="K193" s="155">
        <v>607.0168993067</v>
      </c>
      <c r="L193" s="88">
        <f t="shared" si="34"/>
        <v>294.99178722127476</v>
      </c>
      <c r="M193" s="160">
        <v>179065</v>
      </c>
      <c r="N193" s="167">
        <v>2016</v>
      </c>
      <c r="O193" s="167">
        <f>IFERROR(('General Input Sheet'!$G$38/(VLOOKUP(N193,'General Input Sheet'!$E$38:$G$44,3,FALSE))),1)</f>
        <v>1</v>
      </c>
      <c r="P193" s="189">
        <f t="shared" si="26"/>
        <v>262380</v>
      </c>
      <c r="Q193" s="89" t="str">
        <f t="shared" si="35"/>
        <v/>
      </c>
      <c r="R193" s="89" t="str">
        <f t="shared" si="35"/>
        <v/>
      </c>
      <c r="S193" s="89" t="str">
        <f t="shared" si="35"/>
        <v/>
      </c>
      <c r="T193" s="89" t="str">
        <f t="shared" si="35"/>
        <v>y</v>
      </c>
      <c r="U193" s="254" t="str">
        <f t="shared" si="35"/>
        <v/>
      </c>
      <c r="V193" s="308"/>
      <c r="W193" s="309" t="str" cm="1">
        <f t="array" ref="W193">_xlfn.IFS(AND(Q193="y",$D193="Local"), 1, AND(Q193="y",$D193&lt;&gt;"Local"),1.49009696454663%, Q193="","")</f>
        <v/>
      </c>
      <c r="X193" s="272" t="str" cm="1">
        <f t="array" ref="X193">_xlfn.IFS(AND(R193="y",$D193="Local"), 1, AND(R193="y",$D193&lt;&gt;"Local"),20.7557554582461%, R193="","")</f>
        <v/>
      </c>
      <c r="Y193" s="272" t="str" cm="1">
        <f t="array" ref="Y193">_xlfn.IFS(AND(S193="y",$D193="Local"), 1, AND(S193="y",$D193&lt;&gt;"Local"),30.3499104327336%, S193="","")</f>
        <v/>
      </c>
      <c r="Z193" s="272" cm="1">
        <f t="array" ref="Z193">_xlfn.IFS(AND(T193="y",$D193="Local"), 1, AND(T193="y",$D193&lt;&gt;"Local"),29.0043833288201%, T193="","")</f>
        <v>1</v>
      </c>
      <c r="AA193" s="272" t="str" cm="1">
        <f t="array" ref="AA193">_xlfn.IFS(AND(U193="y",$D193="Local"), 1, AND(U193="y",$D193&lt;&gt;"Local"),18.3998538156536%, U193="","")</f>
        <v/>
      </c>
      <c r="AB193" s="68">
        <f t="shared" si="27"/>
        <v>1</v>
      </c>
      <c r="AD193" s="306" t="str">
        <f t="shared" si="28"/>
        <v/>
      </c>
      <c r="AE193" s="242" t="str">
        <f t="shared" si="29"/>
        <v/>
      </c>
      <c r="AF193" s="242" t="str">
        <f t="shared" si="30"/>
        <v/>
      </c>
      <c r="AG193" s="242">
        <f t="shared" si="31"/>
        <v>262380</v>
      </c>
      <c r="AH193" s="352" t="str">
        <f t="shared" si="32"/>
        <v/>
      </c>
    </row>
    <row r="194" spans="2:34">
      <c r="B194" s="166" t="s">
        <v>322</v>
      </c>
      <c r="C194" s="150"/>
      <c r="D194" s="150" t="s">
        <v>118</v>
      </c>
      <c r="E194" s="150" t="s">
        <v>140</v>
      </c>
      <c r="F194" s="150" t="s">
        <v>745</v>
      </c>
      <c r="G194" s="146"/>
      <c r="H194" s="155"/>
      <c r="I194" s="135">
        <f t="shared" si="33"/>
        <v>0</v>
      </c>
      <c r="J194" s="147"/>
      <c r="K194" s="155">
        <v>134.58658208671801</v>
      </c>
      <c r="L194" s="88">
        <f t="shared" si="34"/>
        <v>248.5322792315788</v>
      </c>
      <c r="M194" s="160">
        <v>33449.11</v>
      </c>
      <c r="N194" s="167">
        <v>2016</v>
      </c>
      <c r="O194" s="167">
        <f>IFERROR(('General Input Sheet'!$G$38/(VLOOKUP(N194,'General Input Sheet'!$E$38:$G$44,3,FALSE))),1)</f>
        <v>1</v>
      </c>
      <c r="P194" s="189">
        <f t="shared" si="26"/>
        <v>33449.11</v>
      </c>
      <c r="Q194" s="89" t="str">
        <f t="shared" si="35"/>
        <v>y</v>
      </c>
      <c r="R194" s="89" t="str">
        <f t="shared" si="35"/>
        <v>y</v>
      </c>
      <c r="S194" s="89" t="str">
        <f t="shared" si="35"/>
        <v>y</v>
      </c>
      <c r="T194" s="89" t="str">
        <f t="shared" si="35"/>
        <v>y</v>
      </c>
      <c r="U194" s="254" t="str">
        <f t="shared" si="35"/>
        <v>y</v>
      </c>
      <c r="V194" s="308"/>
      <c r="W194" s="309" cm="1">
        <f t="array" ref="W194">_xlfn.IFS(AND(Q194="y",$D194="Local"), 1, AND(Q194="y",$D194&lt;&gt;"Local"),1.49009696454663%, Q194="","")</f>
        <v>1.49009696454663E-2</v>
      </c>
      <c r="X194" s="272" cm="1">
        <f t="array" ref="X194">_xlfn.IFS(AND(R194="y",$D194="Local"), 1, AND(R194="y",$D194&lt;&gt;"Local"),20.7557554582461%, R194="","")</f>
        <v>0.207557554582461</v>
      </c>
      <c r="Y194" s="272" cm="1">
        <f t="array" ref="Y194">_xlfn.IFS(AND(S194="y",$D194="Local"), 1, AND(S194="y",$D194&lt;&gt;"Local"),30.3499104327336%, S194="","")</f>
        <v>0.30349910432733601</v>
      </c>
      <c r="Z194" s="272" cm="1">
        <f t="array" ref="Z194">_xlfn.IFS(AND(T194="y",$D194="Local"), 1, AND(T194="y",$D194&lt;&gt;"Local"),29.0043833288201%, T194="","")</f>
        <v>0.29004383328820099</v>
      </c>
      <c r="AA194" s="272" cm="1">
        <f t="array" ref="AA194">_xlfn.IFS(AND(U194="y",$D194="Local"), 1, AND(U194="y",$D194&lt;&gt;"Local"),18.3998538156536%, U194="","")</f>
        <v>0.183998538156536</v>
      </c>
      <c r="AB194" s="68">
        <f t="shared" si="27"/>
        <v>1.0000000000000004</v>
      </c>
      <c r="AD194" s="306">
        <f t="shared" si="28"/>
        <v>498.42417277786308</v>
      </c>
      <c r="AE194" s="242">
        <f t="shared" si="29"/>
        <v>6942.6154745597396</v>
      </c>
      <c r="AF194" s="242">
        <f t="shared" si="30"/>
        <v>10151.774925546535</v>
      </c>
      <c r="AG194" s="242">
        <f t="shared" si="31"/>
        <v>9701.7080844786924</v>
      </c>
      <c r="AH194" s="352">
        <f t="shared" si="32"/>
        <v>6154.5873426371672</v>
      </c>
    </row>
    <row r="195" spans="2:34">
      <c r="B195" s="166" t="s">
        <v>323</v>
      </c>
      <c r="C195" s="150"/>
      <c r="D195" s="150" t="s">
        <v>116</v>
      </c>
      <c r="E195" s="150" t="s">
        <v>140</v>
      </c>
      <c r="F195" s="150" t="s">
        <v>746</v>
      </c>
      <c r="G195" s="146"/>
      <c r="H195" s="155"/>
      <c r="I195" s="135">
        <f t="shared" si="33"/>
        <v>0</v>
      </c>
      <c r="J195" s="147"/>
      <c r="K195" s="155">
        <v>362.08881186160698</v>
      </c>
      <c r="L195" s="88">
        <f t="shared" si="34"/>
        <v>481.83626305107367</v>
      </c>
      <c r="M195" s="160">
        <v>174467.52</v>
      </c>
      <c r="N195" s="167">
        <v>2016</v>
      </c>
      <c r="O195" s="167">
        <f>IFERROR(('General Input Sheet'!$G$38/(VLOOKUP(N195,'General Input Sheet'!$E$38:$G$44,3,FALSE))),1)</f>
        <v>1</v>
      </c>
      <c r="P195" s="189">
        <f t="shared" si="26"/>
        <v>174467.52</v>
      </c>
      <c r="Q195" s="89" t="str">
        <f t="shared" si="35"/>
        <v/>
      </c>
      <c r="R195" s="89" t="str">
        <f t="shared" si="35"/>
        <v>y</v>
      </c>
      <c r="S195" s="89" t="str">
        <f t="shared" si="35"/>
        <v/>
      </c>
      <c r="T195" s="89" t="str">
        <f t="shared" si="35"/>
        <v/>
      </c>
      <c r="U195" s="254" t="str">
        <f t="shared" si="35"/>
        <v/>
      </c>
      <c r="V195" s="308"/>
      <c r="W195" s="309" t="str" cm="1">
        <f t="array" ref="W195">_xlfn.IFS(AND(Q195="y",$D195="Local"), 1, AND(Q195="y",$D195&lt;&gt;"Local"),1.49009696454663%, Q195="","")</f>
        <v/>
      </c>
      <c r="X195" s="272" cm="1">
        <f t="array" ref="X195">_xlfn.IFS(AND(R195="y",$D195="Local"), 1, AND(R195="y",$D195&lt;&gt;"Local"),20.7557554582461%, R195="","")</f>
        <v>1</v>
      </c>
      <c r="Y195" s="272" t="str" cm="1">
        <f t="array" ref="Y195">_xlfn.IFS(AND(S195="y",$D195="Local"), 1, AND(S195="y",$D195&lt;&gt;"Local"),30.3499104327336%, S195="","")</f>
        <v/>
      </c>
      <c r="Z195" s="272" t="str" cm="1">
        <f t="array" ref="Z195">_xlfn.IFS(AND(T195="y",$D195="Local"), 1, AND(T195="y",$D195&lt;&gt;"Local"),29.0043833288201%, T195="","")</f>
        <v/>
      </c>
      <c r="AA195" s="272" t="str" cm="1">
        <f t="array" ref="AA195">_xlfn.IFS(AND(U195="y",$D195="Local"), 1, AND(U195="y",$D195&lt;&gt;"Local"),18.3998538156536%, U195="","")</f>
        <v/>
      </c>
      <c r="AB195" s="68">
        <f t="shared" si="27"/>
        <v>1</v>
      </c>
      <c r="AD195" s="306" t="str">
        <f t="shared" si="28"/>
        <v/>
      </c>
      <c r="AE195" s="242">
        <f t="shared" si="29"/>
        <v>174467.52</v>
      </c>
      <c r="AF195" s="242" t="str">
        <f t="shared" si="30"/>
        <v/>
      </c>
      <c r="AG195" s="242" t="str">
        <f t="shared" si="31"/>
        <v/>
      </c>
      <c r="AH195" s="352" t="str">
        <f t="shared" si="32"/>
        <v/>
      </c>
    </row>
    <row r="196" spans="2:34">
      <c r="B196" s="166" t="s">
        <v>324</v>
      </c>
      <c r="C196" s="150"/>
      <c r="D196" s="150" t="s">
        <v>118</v>
      </c>
      <c r="E196" s="150" t="s">
        <v>140</v>
      </c>
      <c r="F196" s="150" t="s">
        <v>747</v>
      </c>
      <c r="G196" s="146"/>
      <c r="H196" s="155"/>
      <c r="I196" s="135">
        <f t="shared" si="33"/>
        <v>0</v>
      </c>
      <c r="J196" s="147"/>
      <c r="K196" s="155">
        <v>179.70722604258199</v>
      </c>
      <c r="L196" s="88">
        <f t="shared" si="34"/>
        <v>248.49006344029146</v>
      </c>
      <c r="M196" s="160">
        <v>44655.46</v>
      </c>
      <c r="N196" s="167">
        <v>2016</v>
      </c>
      <c r="O196" s="167">
        <f>IFERROR(('General Input Sheet'!$G$38/(VLOOKUP(N196,'General Input Sheet'!$E$38:$G$44,3,FALSE))),1)</f>
        <v>1</v>
      </c>
      <c r="P196" s="189">
        <f t="shared" si="26"/>
        <v>44655.46</v>
      </c>
      <c r="Q196" s="89" t="str">
        <f t="shared" si="35"/>
        <v>y</v>
      </c>
      <c r="R196" s="89" t="str">
        <f t="shared" si="35"/>
        <v>y</v>
      </c>
      <c r="S196" s="89" t="str">
        <f t="shared" si="35"/>
        <v>y</v>
      </c>
      <c r="T196" s="89" t="str">
        <f t="shared" si="35"/>
        <v>y</v>
      </c>
      <c r="U196" s="254" t="str">
        <f t="shared" si="35"/>
        <v>y</v>
      </c>
      <c r="V196" s="308"/>
      <c r="W196" s="309" cm="1">
        <f t="array" ref="W196">_xlfn.IFS(AND(Q196="y",$D196="Local"), 1, AND(Q196="y",$D196&lt;&gt;"Local"),1.49009696454663%, Q196="","")</f>
        <v>1.49009696454663E-2</v>
      </c>
      <c r="X196" s="272" cm="1">
        <f t="array" ref="X196">_xlfn.IFS(AND(R196="y",$D196="Local"), 1, AND(R196="y",$D196&lt;&gt;"Local"),20.7557554582461%, R196="","")</f>
        <v>0.207557554582461</v>
      </c>
      <c r="Y196" s="272" cm="1">
        <f t="array" ref="Y196">_xlfn.IFS(AND(S196="y",$D196="Local"), 1, AND(S196="y",$D196&lt;&gt;"Local"),30.3499104327336%, S196="","")</f>
        <v>0.30349910432733601</v>
      </c>
      <c r="Z196" s="272" cm="1">
        <f t="array" ref="Z196">_xlfn.IFS(AND(T196="y",$D196="Local"), 1, AND(T196="y",$D196&lt;&gt;"Local"),29.0043833288201%, T196="","")</f>
        <v>0.29004383328820099</v>
      </c>
      <c r="AA196" s="272" cm="1">
        <f t="array" ref="AA196">_xlfn.IFS(AND(U196="y",$D196="Local"), 1, AND(U196="y",$D196&lt;&gt;"Local"),18.3998538156536%, U196="","")</f>
        <v>0.183998538156536</v>
      </c>
      <c r="AB196" s="68">
        <f t="shared" si="27"/>
        <v>1.0000000000000004</v>
      </c>
      <c r="AD196" s="306">
        <f t="shared" si="28"/>
        <v>665.40965396433421</v>
      </c>
      <c r="AE196" s="242">
        <f t="shared" si="29"/>
        <v>9268.5780763548992</v>
      </c>
      <c r="AF196" s="242">
        <f t="shared" si="30"/>
        <v>13552.892113325175</v>
      </c>
      <c r="AG196" s="242">
        <f t="shared" si="31"/>
        <v>12952.040795647923</v>
      </c>
      <c r="AH196" s="352">
        <f t="shared" si="32"/>
        <v>8216.5393607076621</v>
      </c>
    </row>
    <row r="197" spans="2:34">
      <c r="B197" s="166" t="s">
        <v>325</v>
      </c>
      <c r="C197" s="150"/>
      <c r="D197" s="150" t="s">
        <v>116</v>
      </c>
      <c r="E197" s="150" t="s">
        <v>140</v>
      </c>
      <c r="F197" s="150" t="s">
        <v>748</v>
      </c>
      <c r="G197" s="146"/>
      <c r="H197" s="155"/>
      <c r="I197" s="135">
        <f t="shared" si="33"/>
        <v>0</v>
      </c>
      <c r="J197" s="147"/>
      <c r="K197" s="155">
        <v>58.683790108563002</v>
      </c>
      <c r="L197" s="88">
        <f t="shared" si="34"/>
        <v>463.2040628206388</v>
      </c>
      <c r="M197" s="160">
        <v>27182.57</v>
      </c>
      <c r="N197" s="167">
        <v>2016</v>
      </c>
      <c r="O197" s="167">
        <f>IFERROR(('General Input Sheet'!$G$38/(VLOOKUP(N197,'General Input Sheet'!$E$38:$G$44,3,FALSE))),1)</f>
        <v>1</v>
      </c>
      <c r="P197" s="189">
        <f t="shared" si="26"/>
        <v>27182.57</v>
      </c>
      <c r="Q197" s="89" t="str">
        <f t="shared" si="35"/>
        <v/>
      </c>
      <c r="R197" s="89" t="str">
        <f t="shared" si="35"/>
        <v>y</v>
      </c>
      <c r="S197" s="89" t="str">
        <f t="shared" si="35"/>
        <v/>
      </c>
      <c r="T197" s="89" t="str">
        <f t="shared" si="35"/>
        <v/>
      </c>
      <c r="U197" s="254" t="str">
        <f t="shared" si="35"/>
        <v/>
      </c>
      <c r="V197" s="308"/>
      <c r="W197" s="309" t="str" cm="1">
        <f t="array" ref="W197">_xlfn.IFS(AND(Q197="y",$D197="Local"), 1, AND(Q197="y",$D197&lt;&gt;"Local"),1.49009696454663%, Q197="","")</f>
        <v/>
      </c>
      <c r="X197" s="272" cm="1">
        <f t="array" ref="X197">_xlfn.IFS(AND(R197="y",$D197="Local"), 1, AND(R197="y",$D197&lt;&gt;"Local"),20.7557554582461%, R197="","")</f>
        <v>1</v>
      </c>
      <c r="Y197" s="272" t="str" cm="1">
        <f t="array" ref="Y197">_xlfn.IFS(AND(S197="y",$D197="Local"), 1, AND(S197="y",$D197&lt;&gt;"Local"),30.3499104327336%, S197="","")</f>
        <v/>
      </c>
      <c r="Z197" s="272" t="str" cm="1">
        <f t="array" ref="Z197">_xlfn.IFS(AND(T197="y",$D197="Local"), 1, AND(T197="y",$D197&lt;&gt;"Local"),29.0043833288201%, T197="","")</f>
        <v/>
      </c>
      <c r="AA197" s="272" t="str" cm="1">
        <f t="array" ref="AA197">_xlfn.IFS(AND(U197="y",$D197="Local"), 1, AND(U197="y",$D197&lt;&gt;"Local"),18.3998538156536%, U197="","")</f>
        <v/>
      </c>
      <c r="AB197" s="68">
        <f t="shared" si="27"/>
        <v>1</v>
      </c>
      <c r="AD197" s="306" t="str">
        <f t="shared" si="28"/>
        <v/>
      </c>
      <c r="AE197" s="242">
        <f t="shared" si="29"/>
        <v>27182.57</v>
      </c>
      <c r="AF197" s="242" t="str">
        <f t="shared" si="30"/>
        <v/>
      </c>
      <c r="AG197" s="242" t="str">
        <f t="shared" si="31"/>
        <v/>
      </c>
      <c r="AH197" s="352" t="str">
        <f t="shared" si="32"/>
        <v/>
      </c>
    </row>
    <row r="198" spans="2:34">
      <c r="B198" s="166" t="s">
        <v>326</v>
      </c>
      <c r="C198" s="150"/>
      <c r="D198" s="150" t="s">
        <v>118</v>
      </c>
      <c r="E198" s="150" t="s">
        <v>141</v>
      </c>
      <c r="F198" s="150" t="s">
        <v>749</v>
      </c>
      <c r="G198" s="146"/>
      <c r="H198" s="155"/>
      <c r="I198" s="135">
        <f t="shared" si="33"/>
        <v>0</v>
      </c>
      <c r="J198" s="147"/>
      <c r="K198" s="155">
        <v>151.74653568516101</v>
      </c>
      <c r="L198" s="88">
        <f t="shared" si="34"/>
        <v>1636.975558475903</v>
      </c>
      <c r="M198" s="160">
        <v>248405.37</v>
      </c>
      <c r="N198" s="167">
        <v>2016</v>
      </c>
      <c r="O198" s="167">
        <f>IFERROR(('General Input Sheet'!$G$38/(VLOOKUP(N198,'General Input Sheet'!$E$38:$G$44,3,FALSE))),1)</f>
        <v>1</v>
      </c>
      <c r="P198" s="189">
        <f t="shared" si="26"/>
        <v>248405.37</v>
      </c>
      <c r="Q198" s="89" t="str">
        <f t="shared" si="35"/>
        <v>y</v>
      </c>
      <c r="R198" s="89" t="str">
        <f t="shared" si="35"/>
        <v>y</v>
      </c>
      <c r="S198" s="89" t="str">
        <f t="shared" si="35"/>
        <v>y</v>
      </c>
      <c r="T198" s="89" t="str">
        <f t="shared" si="35"/>
        <v>y</v>
      </c>
      <c r="U198" s="254" t="str">
        <f t="shared" si="35"/>
        <v>y</v>
      </c>
      <c r="V198" s="308"/>
      <c r="W198" s="309" cm="1">
        <f t="array" ref="W198">_xlfn.IFS(AND(Q198="y",$D198="Local"), 1, AND(Q198="y",$D198&lt;&gt;"Local"),1.49009696454663%, Q198="","")</f>
        <v>1.49009696454663E-2</v>
      </c>
      <c r="X198" s="272" cm="1">
        <f t="array" ref="X198">_xlfn.IFS(AND(R198="y",$D198="Local"), 1, AND(R198="y",$D198&lt;&gt;"Local"),20.7557554582461%, R198="","")</f>
        <v>0.207557554582461</v>
      </c>
      <c r="Y198" s="272" cm="1">
        <f t="array" ref="Y198">_xlfn.IFS(AND(S198="y",$D198="Local"), 1, AND(S198="y",$D198&lt;&gt;"Local"),30.3499104327336%, S198="","")</f>
        <v>0.30349910432733601</v>
      </c>
      <c r="Z198" s="272" cm="1">
        <f t="array" ref="Z198">_xlfn.IFS(AND(T198="y",$D198="Local"), 1, AND(T198="y",$D198&lt;&gt;"Local"),29.0043833288201%, T198="","")</f>
        <v>0.29004383328820099</v>
      </c>
      <c r="AA198" s="272" cm="1">
        <f t="array" ref="AA198">_xlfn.IFS(AND(U198="y",$D198="Local"), 1, AND(U198="y",$D198&lt;&gt;"Local"),18.3998538156536%, U198="","")</f>
        <v>0.183998538156536</v>
      </c>
      <c r="AB198" s="68">
        <f t="shared" si="27"/>
        <v>1.0000000000000004</v>
      </c>
      <c r="AD198" s="306">
        <f t="shared" si="28"/>
        <v>3701.4808781408233</v>
      </c>
      <c r="AE198" s="242">
        <f t="shared" si="29"/>
        <v>51558.411142351397</v>
      </c>
      <c r="AF198" s="242">
        <f t="shared" si="30"/>
        <v>75390.807305100476</v>
      </c>
      <c r="AG198" s="242">
        <f t="shared" si="31"/>
        <v>72048.445724173856</v>
      </c>
      <c r="AH198" s="352">
        <f t="shared" si="32"/>
        <v>45706.224950233423</v>
      </c>
    </row>
    <row r="199" spans="2:34">
      <c r="B199" s="166" t="s">
        <v>327</v>
      </c>
      <c r="C199" s="150"/>
      <c r="D199" s="150" t="s">
        <v>118</v>
      </c>
      <c r="E199" s="150" t="s">
        <v>140</v>
      </c>
      <c r="F199" s="150" t="s">
        <v>750</v>
      </c>
      <c r="G199" s="146"/>
      <c r="H199" s="155"/>
      <c r="I199" s="135">
        <f t="shared" si="33"/>
        <v>0</v>
      </c>
      <c r="J199" s="147"/>
      <c r="K199" s="155">
        <v>133.871572416156</v>
      </c>
      <c r="L199" s="88">
        <f t="shared" si="34"/>
        <v>248.50526067314013</v>
      </c>
      <c r="M199" s="160">
        <v>33267.79</v>
      </c>
      <c r="N199" s="167">
        <v>2016</v>
      </c>
      <c r="O199" s="167">
        <f>IFERROR(('General Input Sheet'!$G$38/(VLOOKUP(N199,'General Input Sheet'!$E$38:$G$44,3,FALSE))),1)</f>
        <v>1</v>
      </c>
      <c r="P199" s="189">
        <f t="shared" si="26"/>
        <v>33267.79</v>
      </c>
      <c r="Q199" s="89" t="str">
        <f t="shared" si="35"/>
        <v>y</v>
      </c>
      <c r="R199" s="89" t="str">
        <f t="shared" si="35"/>
        <v>y</v>
      </c>
      <c r="S199" s="89" t="str">
        <f t="shared" si="35"/>
        <v>y</v>
      </c>
      <c r="T199" s="89" t="str">
        <f t="shared" si="35"/>
        <v>y</v>
      </c>
      <c r="U199" s="254" t="str">
        <f t="shared" si="35"/>
        <v>y</v>
      </c>
      <c r="V199" s="308"/>
      <c r="W199" s="309" cm="1">
        <f t="array" ref="W199">_xlfn.IFS(AND(Q199="y",$D199="Local"), 1, AND(Q199="y",$D199&lt;&gt;"Local"),1.49009696454663%, Q199="","")</f>
        <v>1.49009696454663E-2</v>
      </c>
      <c r="X199" s="272" cm="1">
        <f t="array" ref="X199">_xlfn.IFS(AND(R199="y",$D199="Local"), 1, AND(R199="y",$D199&lt;&gt;"Local"),20.7557554582461%, R199="","")</f>
        <v>0.207557554582461</v>
      </c>
      <c r="Y199" s="272" cm="1">
        <f t="array" ref="Y199">_xlfn.IFS(AND(S199="y",$D199="Local"), 1, AND(S199="y",$D199&lt;&gt;"Local"),30.3499104327336%, S199="","")</f>
        <v>0.30349910432733601</v>
      </c>
      <c r="Z199" s="272" cm="1">
        <f t="array" ref="Z199">_xlfn.IFS(AND(T199="y",$D199="Local"), 1, AND(T199="y",$D199&lt;&gt;"Local"),29.0043833288201%, T199="","")</f>
        <v>0.29004383328820099</v>
      </c>
      <c r="AA199" s="272" cm="1">
        <f t="array" ref="AA199">_xlfn.IFS(AND(U199="y",$D199="Local"), 1, AND(U199="y",$D199&lt;&gt;"Local"),18.3998538156536%, U199="","")</f>
        <v>0.183998538156536</v>
      </c>
      <c r="AB199" s="68">
        <f t="shared" si="27"/>
        <v>1.0000000000000004</v>
      </c>
      <c r="AD199" s="306">
        <f t="shared" si="28"/>
        <v>495.72232896174711</v>
      </c>
      <c r="AE199" s="242">
        <f t="shared" si="29"/>
        <v>6904.9811387628479</v>
      </c>
      <c r="AF199" s="242">
        <f t="shared" si="30"/>
        <v>10096.744467949902</v>
      </c>
      <c r="AG199" s="242">
        <f t="shared" si="31"/>
        <v>9649.1173366268758</v>
      </c>
      <c r="AH199" s="352">
        <f t="shared" si="32"/>
        <v>6121.2247276986236</v>
      </c>
    </row>
    <row r="200" spans="2:34">
      <c r="B200" s="166" t="s">
        <v>328</v>
      </c>
      <c r="C200" s="150"/>
      <c r="D200" s="150" t="s">
        <v>118</v>
      </c>
      <c r="E200" s="150" t="s">
        <v>140</v>
      </c>
      <c r="F200" s="150" t="s">
        <v>751</v>
      </c>
      <c r="G200" s="146"/>
      <c r="H200" s="155"/>
      <c r="I200" s="135">
        <f t="shared" si="33"/>
        <v>0</v>
      </c>
      <c r="J200" s="147"/>
      <c r="K200" s="155">
        <v>400.40939175241499</v>
      </c>
      <c r="L200" s="88">
        <f t="shared" si="34"/>
        <v>464.7087301964558</v>
      </c>
      <c r="M200" s="160">
        <v>186073.74</v>
      </c>
      <c r="N200" s="167">
        <v>2016</v>
      </c>
      <c r="O200" s="167">
        <f>IFERROR(('General Input Sheet'!$G$38/(VLOOKUP(N200,'General Input Sheet'!$E$38:$G$44,3,FALSE))),1)</f>
        <v>1</v>
      </c>
      <c r="P200" s="189">
        <f t="shared" si="26"/>
        <v>186073.74</v>
      </c>
      <c r="Q200" s="89" t="str">
        <f t="shared" si="35"/>
        <v>y</v>
      </c>
      <c r="R200" s="89" t="str">
        <f t="shared" si="35"/>
        <v>y</v>
      </c>
      <c r="S200" s="89" t="str">
        <f t="shared" si="35"/>
        <v>y</v>
      </c>
      <c r="T200" s="89" t="str">
        <f t="shared" si="35"/>
        <v>y</v>
      </c>
      <c r="U200" s="254" t="str">
        <f t="shared" si="35"/>
        <v>y</v>
      </c>
      <c r="V200" s="308"/>
      <c r="W200" s="309" cm="1">
        <f t="array" ref="W200">_xlfn.IFS(AND(Q200="y",$D200="Local"), 1, AND(Q200="y",$D200&lt;&gt;"Local"),1.49009696454663%, Q200="","")</f>
        <v>1.49009696454663E-2</v>
      </c>
      <c r="X200" s="272" cm="1">
        <f t="array" ref="X200">_xlfn.IFS(AND(R200="y",$D200="Local"), 1, AND(R200="y",$D200&lt;&gt;"Local"),20.7557554582461%, R200="","")</f>
        <v>0.207557554582461</v>
      </c>
      <c r="Y200" s="272" cm="1">
        <f t="array" ref="Y200">_xlfn.IFS(AND(S200="y",$D200="Local"), 1, AND(S200="y",$D200&lt;&gt;"Local"),30.3499104327336%, S200="","")</f>
        <v>0.30349910432733601</v>
      </c>
      <c r="Z200" s="272" cm="1">
        <f t="array" ref="Z200">_xlfn.IFS(AND(T200="y",$D200="Local"), 1, AND(T200="y",$D200&lt;&gt;"Local"),29.0043833288201%, T200="","")</f>
        <v>0.29004383328820099</v>
      </c>
      <c r="AA200" s="272" cm="1">
        <f t="array" ref="AA200">_xlfn.IFS(AND(U200="y",$D200="Local"), 1, AND(U200="y",$D200&lt;&gt;"Local"),18.3998538156536%, U200="","")</f>
        <v>0.183998538156536</v>
      </c>
      <c r="AB200" s="68">
        <f t="shared" si="27"/>
        <v>1.0000000000000004</v>
      </c>
      <c r="AD200" s="306">
        <f t="shared" si="28"/>
        <v>2772.6791515583873</v>
      </c>
      <c r="AE200" s="242">
        <f t="shared" si="29"/>
        <v>38621.010446412642</v>
      </c>
      <c r="AF200" s="242">
        <f t="shared" si="30"/>
        <v>56473.213428837575</v>
      </c>
      <c r="AG200" s="242">
        <f t="shared" si="31"/>
        <v>53969.540823872034</v>
      </c>
      <c r="AH200" s="352">
        <f t="shared" si="32"/>
        <v>34237.296149319343</v>
      </c>
    </row>
    <row r="201" spans="2:34">
      <c r="B201" s="166" t="s">
        <v>329</v>
      </c>
      <c r="C201" s="150"/>
      <c r="D201" s="150" t="s">
        <v>116</v>
      </c>
      <c r="E201" s="150" t="s">
        <v>141</v>
      </c>
      <c r="F201" s="150" t="s">
        <v>752</v>
      </c>
      <c r="G201" s="146"/>
      <c r="H201" s="155"/>
      <c r="I201" s="135">
        <f t="shared" si="33"/>
        <v>0</v>
      </c>
      <c r="J201" s="147"/>
      <c r="K201" s="155">
        <v>70.328334505802601</v>
      </c>
      <c r="L201" s="88">
        <f t="shared" si="34"/>
        <v>788.23450590069342</v>
      </c>
      <c r="M201" s="160">
        <v>55435.22</v>
      </c>
      <c r="N201" s="167">
        <v>2016</v>
      </c>
      <c r="O201" s="167">
        <f>IFERROR(('General Input Sheet'!$G$38/(VLOOKUP(N201,'General Input Sheet'!$E$38:$G$44,3,FALSE))),1)</f>
        <v>1</v>
      </c>
      <c r="P201" s="189">
        <f t="shared" si="26"/>
        <v>55435.22</v>
      </c>
      <c r="Q201" s="89" t="str">
        <f t="shared" si="35"/>
        <v/>
      </c>
      <c r="R201" s="89" t="str">
        <f t="shared" si="35"/>
        <v/>
      </c>
      <c r="S201" s="89" t="str">
        <f t="shared" si="35"/>
        <v>y</v>
      </c>
      <c r="T201" s="89" t="str">
        <f t="shared" si="35"/>
        <v/>
      </c>
      <c r="U201" s="254" t="str">
        <f t="shared" si="35"/>
        <v/>
      </c>
      <c r="V201" s="308"/>
      <c r="W201" s="309" t="str" cm="1">
        <f t="array" ref="W201">_xlfn.IFS(AND(Q201="y",$D201="Local"), 1, AND(Q201="y",$D201&lt;&gt;"Local"),1.49009696454663%, Q201="","")</f>
        <v/>
      </c>
      <c r="X201" s="272" t="str" cm="1">
        <f t="array" ref="X201">_xlfn.IFS(AND(R201="y",$D201="Local"), 1, AND(R201="y",$D201&lt;&gt;"Local"),20.7557554582461%, R201="","")</f>
        <v/>
      </c>
      <c r="Y201" s="272" cm="1">
        <f t="array" ref="Y201">_xlfn.IFS(AND(S201="y",$D201="Local"), 1, AND(S201="y",$D201&lt;&gt;"Local"),30.3499104327336%, S201="","")</f>
        <v>1</v>
      </c>
      <c r="Z201" s="272" t="str" cm="1">
        <f t="array" ref="Z201">_xlfn.IFS(AND(T201="y",$D201="Local"), 1, AND(T201="y",$D201&lt;&gt;"Local"),29.0043833288201%, T201="","")</f>
        <v/>
      </c>
      <c r="AA201" s="272" t="str" cm="1">
        <f t="array" ref="AA201">_xlfn.IFS(AND(U201="y",$D201="Local"), 1, AND(U201="y",$D201&lt;&gt;"Local"),18.3998538156536%, U201="","")</f>
        <v/>
      </c>
      <c r="AB201" s="68">
        <f t="shared" si="27"/>
        <v>1</v>
      </c>
      <c r="AD201" s="306" t="str">
        <f t="shared" si="28"/>
        <v/>
      </c>
      <c r="AE201" s="242" t="str">
        <f t="shared" si="29"/>
        <v/>
      </c>
      <c r="AF201" s="242">
        <f t="shared" si="30"/>
        <v>55435.22</v>
      </c>
      <c r="AG201" s="242" t="str">
        <f t="shared" si="31"/>
        <v/>
      </c>
      <c r="AH201" s="352" t="str">
        <f t="shared" si="32"/>
        <v/>
      </c>
    </row>
    <row r="202" spans="2:34">
      <c r="B202" s="166" t="s">
        <v>330</v>
      </c>
      <c r="C202" s="150"/>
      <c r="D202" s="150" t="s">
        <v>118</v>
      </c>
      <c r="E202" s="150" t="s">
        <v>140</v>
      </c>
      <c r="F202" s="150" t="s">
        <v>753</v>
      </c>
      <c r="G202" s="146"/>
      <c r="H202" s="155"/>
      <c r="I202" s="135">
        <f t="shared" si="33"/>
        <v>0</v>
      </c>
      <c r="J202" s="147"/>
      <c r="K202" s="155">
        <v>415.284988812471</v>
      </c>
      <c r="L202" s="88">
        <f t="shared" si="34"/>
        <v>506.50395672015048</v>
      </c>
      <c r="M202" s="160">
        <v>210343.49</v>
      </c>
      <c r="N202" s="167">
        <v>2016</v>
      </c>
      <c r="O202" s="167">
        <f>IFERROR(('General Input Sheet'!$G$38/(VLOOKUP(N202,'General Input Sheet'!$E$38:$G$44,3,FALSE))),1)</f>
        <v>1</v>
      </c>
      <c r="P202" s="189">
        <f t="shared" si="26"/>
        <v>210343.49</v>
      </c>
      <c r="Q202" s="89" t="str">
        <f t="shared" si="35"/>
        <v>y</v>
      </c>
      <c r="R202" s="89" t="str">
        <f t="shared" si="35"/>
        <v>y</v>
      </c>
      <c r="S202" s="89" t="str">
        <f t="shared" si="35"/>
        <v>y</v>
      </c>
      <c r="T202" s="89" t="str">
        <f t="shared" si="35"/>
        <v>y</v>
      </c>
      <c r="U202" s="254" t="str">
        <f t="shared" si="35"/>
        <v>y</v>
      </c>
      <c r="V202" s="308"/>
      <c r="W202" s="309" cm="1">
        <f t="array" ref="W202">_xlfn.IFS(AND(Q202="y",$D202="Local"), 1, AND(Q202="y",$D202&lt;&gt;"Local"),1.49009696454663%, Q202="","")</f>
        <v>1.49009696454663E-2</v>
      </c>
      <c r="X202" s="272" cm="1">
        <f t="array" ref="X202">_xlfn.IFS(AND(R202="y",$D202="Local"), 1, AND(R202="y",$D202&lt;&gt;"Local"),20.7557554582461%, R202="","")</f>
        <v>0.207557554582461</v>
      </c>
      <c r="Y202" s="272" cm="1">
        <f t="array" ref="Y202">_xlfn.IFS(AND(S202="y",$D202="Local"), 1, AND(S202="y",$D202&lt;&gt;"Local"),30.3499104327336%, S202="","")</f>
        <v>0.30349910432733601</v>
      </c>
      <c r="Z202" s="272" cm="1">
        <f t="array" ref="Z202">_xlfn.IFS(AND(T202="y",$D202="Local"), 1, AND(T202="y",$D202&lt;&gt;"Local"),29.0043833288201%, T202="","")</f>
        <v>0.29004383328820099</v>
      </c>
      <c r="AA202" s="272" cm="1">
        <f t="array" ref="AA202">_xlfn.IFS(AND(U202="y",$D202="Local"), 1, AND(U202="y",$D202&lt;&gt;"Local"),18.3998538156536%, U202="","")</f>
        <v>0.183998538156536</v>
      </c>
      <c r="AB202" s="68">
        <f t="shared" si="27"/>
        <v>1.0000000000000004</v>
      </c>
      <c r="AD202" s="306">
        <f t="shared" si="28"/>
        <v>3134.3219596114427</v>
      </c>
      <c r="AE202" s="242">
        <f t="shared" si="29"/>
        <v>43658.380406740318</v>
      </c>
      <c r="AF202" s="242">
        <f t="shared" si="30"/>
        <v>63839.060816085934</v>
      </c>
      <c r="AG202" s="242">
        <f t="shared" si="31"/>
        <v>61008.832146818349</v>
      </c>
      <c r="AH202" s="352">
        <f t="shared" si="32"/>
        <v>38702.894670743932</v>
      </c>
    </row>
    <row r="203" spans="2:34">
      <c r="B203" s="166" t="s">
        <v>331</v>
      </c>
      <c r="C203" s="150"/>
      <c r="D203" s="150" t="s">
        <v>118</v>
      </c>
      <c r="E203" s="150" t="s">
        <v>143</v>
      </c>
      <c r="F203" s="150" t="s">
        <v>754</v>
      </c>
      <c r="G203" s="146">
        <v>56000</v>
      </c>
      <c r="H203" s="155">
        <v>4365</v>
      </c>
      <c r="I203" s="135">
        <f t="shared" si="33"/>
        <v>45</v>
      </c>
      <c r="J203" s="147">
        <v>252425</v>
      </c>
      <c r="K203" s="155">
        <v>6579.6927299988402</v>
      </c>
      <c r="L203" s="88">
        <f t="shared" si="34"/>
        <v>15.218885456983589</v>
      </c>
      <c r="M203" s="160">
        <v>100135.59</v>
      </c>
      <c r="N203" s="167">
        <v>2016</v>
      </c>
      <c r="O203" s="167">
        <f>IFERROR(('General Input Sheet'!$G$38/(VLOOKUP(N203,'General Input Sheet'!$E$38:$G$44,3,FALSE))),1)</f>
        <v>1</v>
      </c>
      <c r="P203" s="189">
        <f t="shared" si="26"/>
        <v>352560.58999999997</v>
      </c>
      <c r="Q203" s="89" t="str">
        <f t="shared" si="35"/>
        <v>y</v>
      </c>
      <c r="R203" s="89" t="str">
        <f t="shared" si="35"/>
        <v>y</v>
      </c>
      <c r="S203" s="89" t="str">
        <f t="shared" si="35"/>
        <v>y</v>
      </c>
      <c r="T203" s="89" t="str">
        <f t="shared" si="35"/>
        <v>y</v>
      </c>
      <c r="U203" s="254" t="str">
        <f t="shared" si="35"/>
        <v>y</v>
      </c>
      <c r="V203" s="308"/>
      <c r="W203" s="309" cm="1">
        <f t="array" ref="W203">_xlfn.IFS(AND(Q203="y",$D203="Local"), 1, AND(Q203="y",$D203&lt;&gt;"Local"),1.49009696454663%, Q203="","")</f>
        <v>1.49009696454663E-2</v>
      </c>
      <c r="X203" s="272" cm="1">
        <f t="array" ref="X203">_xlfn.IFS(AND(R203="y",$D203="Local"), 1, AND(R203="y",$D203&lt;&gt;"Local"),20.7557554582461%, R203="","")</f>
        <v>0.207557554582461</v>
      </c>
      <c r="Y203" s="272" cm="1">
        <f t="array" ref="Y203">_xlfn.IFS(AND(S203="y",$D203="Local"), 1, AND(S203="y",$D203&lt;&gt;"Local"),30.3499104327336%, S203="","")</f>
        <v>0.30349910432733601</v>
      </c>
      <c r="Z203" s="272" cm="1">
        <f t="array" ref="Z203">_xlfn.IFS(AND(T203="y",$D203="Local"), 1, AND(T203="y",$D203&lt;&gt;"Local"),29.0043833288201%, T203="","")</f>
        <v>0.29004383328820099</v>
      </c>
      <c r="AA203" s="272" cm="1">
        <f t="array" ref="AA203">_xlfn.IFS(AND(U203="y",$D203="Local"), 1, AND(U203="y",$D203&lt;&gt;"Local"),18.3998538156536%, U203="","")</f>
        <v>0.183998538156536</v>
      </c>
      <c r="AB203" s="68">
        <f t="shared" si="27"/>
        <v>1.0000000000000004</v>
      </c>
      <c r="AD203" s="306">
        <f t="shared" si="28"/>
        <v>5253.4946497776864</v>
      </c>
      <c r="AE203" s="242">
        <f t="shared" si="29"/>
        <v>73176.613902549623</v>
      </c>
      <c r="AF203" s="242">
        <f t="shared" si="30"/>
        <v>107001.82328611708</v>
      </c>
      <c r="AG203" s="242">
        <f t="shared" si="31"/>
        <v>102258.02498994973</v>
      </c>
      <c r="AH203" s="352">
        <f t="shared" si="32"/>
        <v>64870.633171605805</v>
      </c>
    </row>
    <row r="204" spans="2:34">
      <c r="B204" s="166" t="s">
        <v>332</v>
      </c>
      <c r="C204" s="150"/>
      <c r="D204" s="150" t="s">
        <v>116</v>
      </c>
      <c r="E204" s="150" t="s">
        <v>140</v>
      </c>
      <c r="F204" s="150" t="s">
        <v>755</v>
      </c>
      <c r="G204" s="146">
        <v>56000</v>
      </c>
      <c r="H204" s="155">
        <v>566</v>
      </c>
      <c r="I204" s="135">
        <f t="shared" si="33"/>
        <v>45</v>
      </c>
      <c r="J204" s="147">
        <v>81470</v>
      </c>
      <c r="K204" s="155">
        <v>2625.4083421763598</v>
      </c>
      <c r="L204" s="88">
        <f t="shared" si="34"/>
        <v>114.09377169560256</v>
      </c>
      <c r="M204" s="160">
        <v>299542.74</v>
      </c>
      <c r="N204" s="167">
        <v>2016</v>
      </c>
      <c r="O204" s="167">
        <f>IFERROR(('General Input Sheet'!$G$38/(VLOOKUP(N204,'General Input Sheet'!$E$38:$G$44,3,FALSE))),1)</f>
        <v>1</v>
      </c>
      <c r="P204" s="189">
        <f t="shared" si="26"/>
        <v>381012.74</v>
      </c>
      <c r="Q204" s="89" t="str">
        <f t="shared" si="35"/>
        <v/>
      </c>
      <c r="R204" s="89" t="str">
        <f t="shared" si="35"/>
        <v>y</v>
      </c>
      <c r="S204" s="89" t="str">
        <f t="shared" si="35"/>
        <v/>
      </c>
      <c r="T204" s="89" t="str">
        <f t="shared" si="35"/>
        <v/>
      </c>
      <c r="U204" s="254" t="str">
        <f t="shared" si="35"/>
        <v/>
      </c>
      <c r="V204" s="308"/>
      <c r="W204" s="309" t="str" cm="1">
        <f t="array" ref="W204">_xlfn.IFS(AND(Q204="y",$D204="Local"), 1, AND(Q204="y",$D204&lt;&gt;"Local"),1.49009696454663%, Q204="","")</f>
        <v/>
      </c>
      <c r="X204" s="272" cm="1">
        <f t="array" ref="X204">_xlfn.IFS(AND(R204="y",$D204="Local"), 1, AND(R204="y",$D204&lt;&gt;"Local"),20.7557554582461%, R204="","")</f>
        <v>1</v>
      </c>
      <c r="Y204" s="272" t="str" cm="1">
        <f t="array" ref="Y204">_xlfn.IFS(AND(S204="y",$D204="Local"), 1, AND(S204="y",$D204&lt;&gt;"Local"),30.3499104327336%, S204="","")</f>
        <v/>
      </c>
      <c r="Z204" s="272" t="str" cm="1">
        <f t="array" ref="Z204">_xlfn.IFS(AND(T204="y",$D204="Local"), 1, AND(T204="y",$D204&lt;&gt;"Local"),29.0043833288201%, T204="","")</f>
        <v/>
      </c>
      <c r="AA204" s="272" t="str" cm="1">
        <f t="array" ref="AA204">_xlfn.IFS(AND(U204="y",$D204="Local"), 1, AND(U204="y",$D204&lt;&gt;"Local"),18.3998538156536%, U204="","")</f>
        <v/>
      </c>
      <c r="AB204" s="68">
        <f t="shared" si="27"/>
        <v>1</v>
      </c>
      <c r="AD204" s="306" t="str">
        <f t="shared" si="28"/>
        <v/>
      </c>
      <c r="AE204" s="242">
        <f t="shared" si="29"/>
        <v>381012.74</v>
      </c>
      <c r="AF204" s="242" t="str">
        <f t="shared" si="30"/>
        <v/>
      </c>
      <c r="AG204" s="242" t="str">
        <f t="shared" si="31"/>
        <v/>
      </c>
      <c r="AH204" s="352" t="str">
        <f t="shared" si="32"/>
        <v/>
      </c>
    </row>
    <row r="205" spans="2:34">
      <c r="B205" s="166" t="s">
        <v>333</v>
      </c>
      <c r="C205" s="150"/>
      <c r="D205" s="150" t="s">
        <v>118</v>
      </c>
      <c r="E205" s="150" t="s">
        <v>140</v>
      </c>
      <c r="F205" s="150" t="s">
        <v>756</v>
      </c>
      <c r="G205" s="146"/>
      <c r="H205" s="155"/>
      <c r="I205" s="135">
        <f t="shared" si="33"/>
        <v>0</v>
      </c>
      <c r="J205" s="147"/>
      <c r="K205" s="155">
        <v>865.81583197576003</v>
      </c>
      <c r="L205" s="88">
        <f t="shared" si="34"/>
        <v>345.7262144501654</v>
      </c>
      <c r="M205" s="160">
        <v>299335.23</v>
      </c>
      <c r="N205" s="167">
        <v>2016</v>
      </c>
      <c r="O205" s="167">
        <f>IFERROR(('General Input Sheet'!$G$38/(VLOOKUP(N205,'General Input Sheet'!$E$38:$G$44,3,FALSE))),1)</f>
        <v>1</v>
      </c>
      <c r="P205" s="189">
        <f t="shared" ref="P205:P268" si="36">J205+M205</f>
        <v>299335.23</v>
      </c>
      <c r="Q205" s="89" t="str">
        <f t="shared" si="35"/>
        <v>y</v>
      </c>
      <c r="R205" s="89" t="str">
        <f t="shared" si="35"/>
        <v>y</v>
      </c>
      <c r="S205" s="89" t="str">
        <f t="shared" si="35"/>
        <v>y</v>
      </c>
      <c r="T205" s="89" t="str">
        <f t="shared" si="35"/>
        <v>y</v>
      </c>
      <c r="U205" s="254" t="str">
        <f t="shared" si="35"/>
        <v>y</v>
      </c>
      <c r="V205" s="308"/>
      <c r="W205" s="309" cm="1">
        <f t="array" ref="W205">_xlfn.IFS(AND(Q205="y",$D205="Local"), 1, AND(Q205="y",$D205&lt;&gt;"Local"),1.49009696454663%, Q205="","")</f>
        <v>1.49009696454663E-2</v>
      </c>
      <c r="X205" s="272" cm="1">
        <f t="array" ref="X205">_xlfn.IFS(AND(R205="y",$D205="Local"), 1, AND(R205="y",$D205&lt;&gt;"Local"),20.7557554582461%, R205="","")</f>
        <v>0.207557554582461</v>
      </c>
      <c r="Y205" s="272" cm="1">
        <f t="array" ref="Y205">_xlfn.IFS(AND(S205="y",$D205="Local"), 1, AND(S205="y",$D205&lt;&gt;"Local"),30.3499104327336%, S205="","")</f>
        <v>0.30349910432733601</v>
      </c>
      <c r="Z205" s="272" cm="1">
        <f t="array" ref="Z205">_xlfn.IFS(AND(T205="y",$D205="Local"), 1, AND(T205="y",$D205&lt;&gt;"Local"),29.0043833288201%, T205="","")</f>
        <v>0.29004383328820099</v>
      </c>
      <c r="AA205" s="272" cm="1">
        <f t="array" ref="AA205">_xlfn.IFS(AND(U205="y",$D205="Local"), 1, AND(U205="y",$D205&lt;&gt;"Local"),18.3998538156536%, U205="","")</f>
        <v>0.183998538156536</v>
      </c>
      <c r="AB205" s="68">
        <f t="shared" ref="AB205:AB268" si="37">SUM(W205:AA205)</f>
        <v>1.0000000000000004</v>
      </c>
      <c r="AD205" s="306">
        <f t="shared" ref="AD205:AD268" si="38">IF(W205="","",(W205/$AB205)*$P205)</f>
        <v>4460.3851760486714</v>
      </c>
      <c r="AE205" s="242">
        <f t="shared" ref="AE205:AE268" si="39">IF(X205="","",(X205/$AB205)*$P205)</f>
        <v>62129.288339178493</v>
      </c>
      <c r="AF205" s="242">
        <f t="shared" ref="AF205:AF268" si="40">IF(Y205="","",(Y205/$AB205)*$P205)</f>
        <v>90847.974198617085</v>
      </c>
      <c r="AG205" s="242">
        <f t="shared" ref="AG205:AG268" si="41">IF(Z205="","",(Z205/$AB205)*$P205)</f>
        <v>86820.337547405259</v>
      </c>
      <c r="AH205" s="352">
        <f t="shared" ref="AH205:AH268" si="42">IF(AA205="","",(AA205/$AB205)*$P205)</f>
        <v>55077.244738750451</v>
      </c>
    </row>
    <row r="206" spans="2:34">
      <c r="B206" s="166" t="s">
        <v>334</v>
      </c>
      <c r="C206" s="150"/>
      <c r="D206" s="150" t="s">
        <v>116</v>
      </c>
      <c r="E206" s="150" t="s">
        <v>140</v>
      </c>
      <c r="F206" s="150" t="s">
        <v>757</v>
      </c>
      <c r="G206" s="146"/>
      <c r="H206" s="155"/>
      <c r="I206" s="135">
        <f t="shared" ref="I206:I269" si="43">IFERROR((J206-G206)/H206,0)</f>
        <v>0</v>
      </c>
      <c r="J206" s="147"/>
      <c r="K206" s="155">
        <v>618.12373760430501</v>
      </c>
      <c r="L206" s="88">
        <f t="shared" si="34"/>
        <v>455.67138562199477</v>
      </c>
      <c r="M206" s="160">
        <v>281661.3</v>
      </c>
      <c r="N206" s="167">
        <v>2016</v>
      </c>
      <c r="O206" s="167">
        <f>IFERROR(('General Input Sheet'!$G$38/(VLOOKUP(N206,'General Input Sheet'!$E$38:$G$44,3,FALSE))),1)</f>
        <v>1</v>
      </c>
      <c r="P206" s="189">
        <f t="shared" si="36"/>
        <v>281661.3</v>
      </c>
      <c r="Q206" s="89" t="str">
        <f t="shared" si="35"/>
        <v/>
      </c>
      <c r="R206" s="89" t="str">
        <f t="shared" si="35"/>
        <v>y</v>
      </c>
      <c r="S206" s="89" t="str">
        <f t="shared" si="35"/>
        <v/>
      </c>
      <c r="T206" s="89" t="str">
        <f t="shared" si="35"/>
        <v/>
      </c>
      <c r="U206" s="254" t="str">
        <f t="shared" si="35"/>
        <v/>
      </c>
      <c r="V206" s="308"/>
      <c r="W206" s="309" t="str" cm="1">
        <f t="array" ref="W206">_xlfn.IFS(AND(Q206="y",$D206="Local"), 1, AND(Q206="y",$D206&lt;&gt;"Local"),1.49009696454663%, Q206="","")</f>
        <v/>
      </c>
      <c r="X206" s="272" cm="1">
        <f t="array" ref="X206">_xlfn.IFS(AND(R206="y",$D206="Local"), 1, AND(R206="y",$D206&lt;&gt;"Local"),20.7557554582461%, R206="","")</f>
        <v>1</v>
      </c>
      <c r="Y206" s="272" t="str" cm="1">
        <f t="array" ref="Y206">_xlfn.IFS(AND(S206="y",$D206="Local"), 1, AND(S206="y",$D206&lt;&gt;"Local"),30.3499104327336%, S206="","")</f>
        <v/>
      </c>
      <c r="Z206" s="272" t="str" cm="1">
        <f t="array" ref="Z206">_xlfn.IFS(AND(T206="y",$D206="Local"), 1, AND(T206="y",$D206&lt;&gt;"Local"),29.0043833288201%, T206="","")</f>
        <v/>
      </c>
      <c r="AA206" s="272" t="str" cm="1">
        <f t="array" ref="AA206">_xlfn.IFS(AND(U206="y",$D206="Local"), 1, AND(U206="y",$D206&lt;&gt;"Local"),18.3998538156536%, U206="","")</f>
        <v/>
      </c>
      <c r="AB206" s="68">
        <f t="shared" si="37"/>
        <v>1</v>
      </c>
      <c r="AD206" s="306" t="str">
        <f t="shared" si="38"/>
        <v/>
      </c>
      <c r="AE206" s="242">
        <f t="shared" si="39"/>
        <v>281661.3</v>
      </c>
      <c r="AF206" s="242" t="str">
        <f t="shared" si="40"/>
        <v/>
      </c>
      <c r="AG206" s="242" t="str">
        <f t="shared" si="41"/>
        <v/>
      </c>
      <c r="AH206" s="352" t="str">
        <f t="shared" si="42"/>
        <v/>
      </c>
    </row>
    <row r="207" spans="2:34">
      <c r="B207" s="166" t="s">
        <v>335</v>
      </c>
      <c r="C207" s="150"/>
      <c r="D207" s="150" t="s">
        <v>118</v>
      </c>
      <c r="E207" s="150" t="s">
        <v>141</v>
      </c>
      <c r="F207" s="150" t="s">
        <v>758</v>
      </c>
      <c r="G207" s="146">
        <v>56000</v>
      </c>
      <c r="H207" s="155">
        <v>5280</v>
      </c>
      <c r="I207" s="135">
        <f t="shared" si="43"/>
        <v>45</v>
      </c>
      <c r="J207" s="147">
        <v>293600</v>
      </c>
      <c r="K207" s="155">
        <v>6762.8351948049203</v>
      </c>
      <c r="L207" s="88">
        <f t="shared" ref="L207:L270" si="44">IFERROR(M207/K207,0)</f>
        <v>124.94128951258193</v>
      </c>
      <c r="M207" s="160">
        <v>844957.35</v>
      </c>
      <c r="N207" s="167">
        <v>2016</v>
      </c>
      <c r="O207" s="167">
        <f>IFERROR(('General Input Sheet'!$G$38/(VLOOKUP(N207,'General Input Sheet'!$E$38:$G$44,3,FALSE))),1)</f>
        <v>1</v>
      </c>
      <c r="P207" s="189">
        <f t="shared" si="36"/>
        <v>1138557.3500000001</v>
      </c>
      <c r="Q207" s="89" t="str">
        <f t="shared" si="35"/>
        <v>y</v>
      </c>
      <c r="R207" s="89" t="str">
        <f t="shared" si="35"/>
        <v>y</v>
      </c>
      <c r="S207" s="89" t="str">
        <f t="shared" si="35"/>
        <v>y</v>
      </c>
      <c r="T207" s="89" t="str">
        <f t="shared" si="35"/>
        <v>y</v>
      </c>
      <c r="U207" s="254" t="str">
        <f t="shared" si="35"/>
        <v>y</v>
      </c>
      <c r="V207" s="308"/>
      <c r="W207" s="309" cm="1">
        <f t="array" ref="W207">_xlfn.IFS(AND(Q207="y",$D207="Local"), 1, AND(Q207="y",$D207&lt;&gt;"Local"),1.49009696454663%, Q207="","")</f>
        <v>1.49009696454663E-2</v>
      </c>
      <c r="X207" s="272" cm="1">
        <f t="array" ref="X207">_xlfn.IFS(AND(R207="y",$D207="Local"), 1, AND(R207="y",$D207&lt;&gt;"Local"),20.7557554582461%, R207="","")</f>
        <v>0.207557554582461</v>
      </c>
      <c r="Y207" s="272" cm="1">
        <f t="array" ref="Y207">_xlfn.IFS(AND(S207="y",$D207="Local"), 1, AND(S207="y",$D207&lt;&gt;"Local"),30.3499104327336%, S207="","")</f>
        <v>0.30349910432733601</v>
      </c>
      <c r="Z207" s="272" cm="1">
        <f t="array" ref="Z207">_xlfn.IFS(AND(T207="y",$D207="Local"), 1, AND(T207="y",$D207&lt;&gt;"Local"),29.0043833288201%, T207="","")</f>
        <v>0.29004383328820099</v>
      </c>
      <c r="AA207" s="272" cm="1">
        <f t="array" ref="AA207">_xlfn.IFS(AND(U207="y",$D207="Local"), 1, AND(U207="y",$D207&lt;&gt;"Local"),18.3998538156536%, U207="","")</f>
        <v>0.183998538156536</v>
      </c>
      <c r="AB207" s="68">
        <f t="shared" si="37"/>
        <v>1.0000000000000004</v>
      </c>
      <c r="AD207" s="306">
        <f t="shared" si="38"/>
        <v>16965.608511972543</v>
      </c>
      <c r="AE207" s="242">
        <f t="shared" si="39"/>
        <v>236316.17931788709</v>
      </c>
      <c r="AF207" s="242">
        <f t="shared" si="40"/>
        <v>345551.13595030515</v>
      </c>
      <c r="AG207" s="242">
        <f t="shared" si="41"/>
        <v>330231.53821245581</v>
      </c>
      <c r="AH207" s="352">
        <f t="shared" si="42"/>
        <v>209492.88800737943</v>
      </c>
    </row>
    <row r="208" spans="2:34">
      <c r="B208" s="166" t="s">
        <v>336</v>
      </c>
      <c r="C208" s="150"/>
      <c r="D208" s="150" t="s">
        <v>116</v>
      </c>
      <c r="E208" s="150" t="s">
        <v>142</v>
      </c>
      <c r="F208" s="150" t="s">
        <v>759</v>
      </c>
      <c r="G208" s="146"/>
      <c r="H208" s="155"/>
      <c r="I208" s="135">
        <f t="shared" si="43"/>
        <v>0</v>
      </c>
      <c r="J208" s="147"/>
      <c r="K208" s="155">
        <v>134.20078877748799</v>
      </c>
      <c r="L208" s="88">
        <f t="shared" si="44"/>
        <v>323.67999022735023</v>
      </c>
      <c r="M208" s="160">
        <v>43438.11</v>
      </c>
      <c r="N208" s="167">
        <v>2016</v>
      </c>
      <c r="O208" s="167">
        <f>IFERROR(('General Input Sheet'!$G$38/(VLOOKUP(N208,'General Input Sheet'!$E$38:$G$44,3,FALSE))),1)</f>
        <v>1</v>
      </c>
      <c r="P208" s="189">
        <f t="shared" si="36"/>
        <v>43438.11</v>
      </c>
      <c r="Q208" s="89" t="str">
        <f t="shared" si="35"/>
        <v/>
      </c>
      <c r="R208" s="89" t="str">
        <f t="shared" si="35"/>
        <v/>
      </c>
      <c r="S208" s="89" t="str">
        <f t="shared" si="35"/>
        <v/>
      </c>
      <c r="T208" s="89" t="str">
        <f t="shared" si="35"/>
        <v>y</v>
      </c>
      <c r="U208" s="254" t="str">
        <f t="shared" si="35"/>
        <v/>
      </c>
      <c r="V208" s="308"/>
      <c r="W208" s="309" t="str" cm="1">
        <f t="array" ref="W208">_xlfn.IFS(AND(Q208="y",$D208="Local"), 1, AND(Q208="y",$D208&lt;&gt;"Local"),1.49009696454663%, Q208="","")</f>
        <v/>
      </c>
      <c r="X208" s="272" t="str" cm="1">
        <f t="array" ref="X208">_xlfn.IFS(AND(R208="y",$D208="Local"), 1, AND(R208="y",$D208&lt;&gt;"Local"),20.7557554582461%, R208="","")</f>
        <v/>
      </c>
      <c r="Y208" s="272" t="str" cm="1">
        <f t="array" ref="Y208">_xlfn.IFS(AND(S208="y",$D208="Local"), 1, AND(S208="y",$D208&lt;&gt;"Local"),30.3499104327336%, S208="","")</f>
        <v/>
      </c>
      <c r="Z208" s="272" cm="1">
        <f t="array" ref="Z208">_xlfn.IFS(AND(T208="y",$D208="Local"), 1, AND(T208="y",$D208&lt;&gt;"Local"),29.0043833288201%, T208="","")</f>
        <v>1</v>
      </c>
      <c r="AA208" s="272" t="str" cm="1">
        <f t="array" ref="AA208">_xlfn.IFS(AND(U208="y",$D208="Local"), 1, AND(U208="y",$D208&lt;&gt;"Local"),18.3998538156536%, U208="","")</f>
        <v/>
      </c>
      <c r="AB208" s="68">
        <f t="shared" si="37"/>
        <v>1</v>
      </c>
      <c r="AD208" s="306" t="str">
        <f t="shared" si="38"/>
        <v/>
      </c>
      <c r="AE208" s="242" t="str">
        <f t="shared" si="39"/>
        <v/>
      </c>
      <c r="AF208" s="242" t="str">
        <f t="shared" si="40"/>
        <v/>
      </c>
      <c r="AG208" s="242">
        <f t="shared" si="41"/>
        <v>43438.11</v>
      </c>
      <c r="AH208" s="352" t="str">
        <f t="shared" si="42"/>
        <v/>
      </c>
    </row>
    <row r="209" spans="2:34">
      <c r="B209" s="166" t="s">
        <v>337</v>
      </c>
      <c r="C209" s="150"/>
      <c r="D209" s="150" t="s">
        <v>118</v>
      </c>
      <c r="E209" s="150" t="s">
        <v>141</v>
      </c>
      <c r="F209" s="150" t="s">
        <v>760</v>
      </c>
      <c r="G209" s="146"/>
      <c r="H209" s="155"/>
      <c r="I209" s="135">
        <f t="shared" si="43"/>
        <v>0</v>
      </c>
      <c r="J209" s="147"/>
      <c r="K209" s="155">
        <v>518.19319811468097</v>
      </c>
      <c r="L209" s="88">
        <f t="shared" si="44"/>
        <v>548.53705342750027</v>
      </c>
      <c r="M209" s="160">
        <v>284248.17</v>
      </c>
      <c r="N209" s="167">
        <v>2016</v>
      </c>
      <c r="O209" s="167">
        <f>IFERROR(('General Input Sheet'!$G$38/(VLOOKUP(N209,'General Input Sheet'!$E$38:$G$44,3,FALSE))),1)</f>
        <v>1</v>
      </c>
      <c r="P209" s="189">
        <f t="shared" si="36"/>
        <v>284248.17</v>
      </c>
      <c r="Q209" s="89" t="str">
        <f t="shared" si="35"/>
        <v>y</v>
      </c>
      <c r="R209" s="89" t="str">
        <f t="shared" si="35"/>
        <v>y</v>
      </c>
      <c r="S209" s="89" t="str">
        <f t="shared" si="35"/>
        <v>y</v>
      </c>
      <c r="T209" s="89" t="str">
        <f t="shared" si="35"/>
        <v>y</v>
      </c>
      <c r="U209" s="254" t="str">
        <f t="shared" si="35"/>
        <v>y</v>
      </c>
      <c r="V209" s="308"/>
      <c r="W209" s="309" cm="1">
        <f t="array" ref="W209">_xlfn.IFS(AND(Q209="y",$D209="Local"), 1, AND(Q209="y",$D209&lt;&gt;"Local"),1.49009696454663%, Q209="","")</f>
        <v>1.49009696454663E-2</v>
      </c>
      <c r="X209" s="272" cm="1">
        <f t="array" ref="X209">_xlfn.IFS(AND(R209="y",$D209="Local"), 1, AND(R209="y",$D209&lt;&gt;"Local"),20.7557554582461%, R209="","")</f>
        <v>0.207557554582461</v>
      </c>
      <c r="Y209" s="272" cm="1">
        <f t="array" ref="Y209">_xlfn.IFS(AND(S209="y",$D209="Local"), 1, AND(S209="y",$D209&lt;&gt;"Local"),30.3499104327336%, S209="","")</f>
        <v>0.30349910432733601</v>
      </c>
      <c r="Z209" s="272" cm="1">
        <f t="array" ref="Z209">_xlfn.IFS(AND(T209="y",$D209="Local"), 1, AND(T209="y",$D209&lt;&gt;"Local"),29.0043833288201%, T209="","")</f>
        <v>0.29004383328820099</v>
      </c>
      <c r="AA209" s="272" cm="1">
        <f t="array" ref="AA209">_xlfn.IFS(AND(U209="y",$D209="Local"), 1, AND(U209="y",$D209&lt;&gt;"Local"),18.3998538156536%, U209="","")</f>
        <v>0.183998538156536</v>
      </c>
      <c r="AB209" s="68">
        <f t="shared" si="37"/>
        <v>1.0000000000000004</v>
      </c>
      <c r="AD209" s="306">
        <f t="shared" si="38"/>
        <v>4235.5733529493427</v>
      </c>
      <c r="AE209" s="242">
        <f t="shared" si="39"/>
        <v>58997.855059739624</v>
      </c>
      <c r="AF209" s="242">
        <f t="shared" si="40"/>
        <v>86269.065001684299</v>
      </c>
      <c r="AG209" s="242">
        <f t="shared" si="41"/>
        <v>82444.428831956175</v>
      </c>
      <c r="AH209" s="352">
        <f t="shared" si="42"/>
        <v>52301.247753670505</v>
      </c>
    </row>
    <row r="210" spans="2:34">
      <c r="B210" s="166" t="s">
        <v>338</v>
      </c>
      <c r="C210" s="150"/>
      <c r="D210" s="150" t="s">
        <v>116</v>
      </c>
      <c r="E210" s="150" t="s">
        <v>140</v>
      </c>
      <c r="F210" s="150" t="s">
        <v>761</v>
      </c>
      <c r="G210" s="146"/>
      <c r="H210" s="155"/>
      <c r="I210" s="135">
        <f t="shared" si="43"/>
        <v>0</v>
      </c>
      <c r="J210" s="147"/>
      <c r="K210" s="155">
        <v>610.25363461700294</v>
      </c>
      <c r="L210" s="88">
        <f t="shared" si="44"/>
        <v>461.54792699722549</v>
      </c>
      <c r="M210" s="160">
        <v>281661.3</v>
      </c>
      <c r="N210" s="167">
        <v>2016</v>
      </c>
      <c r="O210" s="167">
        <f>IFERROR(('General Input Sheet'!$G$38/(VLOOKUP(N210,'General Input Sheet'!$E$38:$G$44,3,FALSE))),1)</f>
        <v>1</v>
      </c>
      <c r="P210" s="189">
        <f t="shared" si="36"/>
        <v>281661.3</v>
      </c>
      <c r="Q210" s="89" t="str">
        <f t="shared" si="35"/>
        <v/>
      </c>
      <c r="R210" s="89" t="str">
        <f t="shared" si="35"/>
        <v>y</v>
      </c>
      <c r="S210" s="89" t="str">
        <f t="shared" si="35"/>
        <v/>
      </c>
      <c r="T210" s="89" t="str">
        <f t="shared" si="35"/>
        <v/>
      </c>
      <c r="U210" s="254" t="str">
        <f t="shared" si="35"/>
        <v/>
      </c>
      <c r="V210" s="308"/>
      <c r="W210" s="309" t="str" cm="1">
        <f t="array" ref="W210">_xlfn.IFS(AND(Q210="y",$D210="Local"), 1, AND(Q210="y",$D210&lt;&gt;"Local"),1.49009696454663%, Q210="","")</f>
        <v/>
      </c>
      <c r="X210" s="272" cm="1">
        <f t="array" ref="X210">_xlfn.IFS(AND(R210="y",$D210="Local"), 1, AND(R210="y",$D210&lt;&gt;"Local"),20.7557554582461%, R210="","")</f>
        <v>1</v>
      </c>
      <c r="Y210" s="272" t="str" cm="1">
        <f t="array" ref="Y210">_xlfn.IFS(AND(S210="y",$D210="Local"), 1, AND(S210="y",$D210&lt;&gt;"Local"),30.3499104327336%, S210="","")</f>
        <v/>
      </c>
      <c r="Z210" s="272" t="str" cm="1">
        <f t="array" ref="Z210">_xlfn.IFS(AND(T210="y",$D210="Local"), 1, AND(T210="y",$D210&lt;&gt;"Local"),29.0043833288201%, T210="","")</f>
        <v/>
      </c>
      <c r="AA210" s="272" t="str" cm="1">
        <f t="array" ref="AA210">_xlfn.IFS(AND(U210="y",$D210="Local"), 1, AND(U210="y",$D210&lt;&gt;"Local"),18.3998538156536%, U210="","")</f>
        <v/>
      </c>
      <c r="AB210" s="68">
        <f t="shared" si="37"/>
        <v>1</v>
      </c>
      <c r="AD210" s="306" t="str">
        <f t="shared" si="38"/>
        <v/>
      </c>
      <c r="AE210" s="242">
        <f t="shared" si="39"/>
        <v>281661.3</v>
      </c>
      <c r="AF210" s="242" t="str">
        <f t="shared" si="40"/>
        <v/>
      </c>
      <c r="AG210" s="242" t="str">
        <f t="shared" si="41"/>
        <v/>
      </c>
      <c r="AH210" s="352" t="str">
        <f t="shared" si="42"/>
        <v/>
      </c>
    </row>
    <row r="211" spans="2:34">
      <c r="B211" s="166" t="s">
        <v>339</v>
      </c>
      <c r="C211" s="150"/>
      <c r="D211" s="150" t="s">
        <v>116</v>
      </c>
      <c r="E211" s="150" t="s">
        <v>141</v>
      </c>
      <c r="F211" s="150" t="s">
        <v>762</v>
      </c>
      <c r="G211" s="146"/>
      <c r="H211" s="155"/>
      <c r="I211" s="135">
        <f t="shared" si="43"/>
        <v>0</v>
      </c>
      <c r="J211" s="147"/>
      <c r="K211" s="155">
        <v>1686.33540399257</v>
      </c>
      <c r="L211" s="88">
        <f t="shared" si="44"/>
        <v>93.128590924544184</v>
      </c>
      <c r="M211" s="160">
        <v>157046.04</v>
      </c>
      <c r="N211" s="167">
        <v>2016</v>
      </c>
      <c r="O211" s="167">
        <f>IFERROR(('General Input Sheet'!$G$38/(VLOOKUP(N211,'General Input Sheet'!$E$38:$G$44,3,FALSE))),1)</f>
        <v>1</v>
      </c>
      <c r="P211" s="189">
        <f t="shared" si="36"/>
        <v>157046.04</v>
      </c>
      <c r="Q211" s="89" t="str">
        <f t="shared" si="35"/>
        <v/>
      </c>
      <c r="R211" s="89" t="str">
        <f t="shared" si="35"/>
        <v/>
      </c>
      <c r="S211" s="89" t="str">
        <f t="shared" si="35"/>
        <v>y</v>
      </c>
      <c r="T211" s="89" t="str">
        <f t="shared" si="35"/>
        <v/>
      </c>
      <c r="U211" s="254" t="str">
        <f t="shared" si="35"/>
        <v/>
      </c>
      <c r="V211" s="308"/>
      <c r="W211" s="309" t="str" cm="1">
        <f t="array" ref="W211">_xlfn.IFS(AND(Q211="y",$D211="Local"), 1, AND(Q211="y",$D211&lt;&gt;"Local"),1.49009696454663%, Q211="","")</f>
        <v/>
      </c>
      <c r="X211" s="272" t="str" cm="1">
        <f t="array" ref="X211">_xlfn.IFS(AND(R211="y",$D211="Local"), 1, AND(R211="y",$D211&lt;&gt;"Local"),20.7557554582461%, R211="","")</f>
        <v/>
      </c>
      <c r="Y211" s="272" cm="1">
        <f t="array" ref="Y211">_xlfn.IFS(AND(S211="y",$D211="Local"), 1, AND(S211="y",$D211&lt;&gt;"Local"),30.3499104327336%, S211="","")</f>
        <v>1</v>
      </c>
      <c r="Z211" s="272" t="str" cm="1">
        <f t="array" ref="Z211">_xlfn.IFS(AND(T211="y",$D211="Local"), 1, AND(T211="y",$D211&lt;&gt;"Local"),29.0043833288201%, T211="","")</f>
        <v/>
      </c>
      <c r="AA211" s="272" t="str" cm="1">
        <f t="array" ref="AA211">_xlfn.IFS(AND(U211="y",$D211="Local"), 1, AND(U211="y",$D211&lt;&gt;"Local"),18.3998538156536%, U211="","")</f>
        <v/>
      </c>
      <c r="AB211" s="68">
        <f t="shared" si="37"/>
        <v>1</v>
      </c>
      <c r="AD211" s="306" t="str">
        <f t="shared" si="38"/>
        <v/>
      </c>
      <c r="AE211" s="242" t="str">
        <f t="shared" si="39"/>
        <v/>
      </c>
      <c r="AF211" s="242">
        <f t="shared" si="40"/>
        <v>157046.04</v>
      </c>
      <c r="AG211" s="242" t="str">
        <f t="shared" si="41"/>
        <v/>
      </c>
      <c r="AH211" s="352" t="str">
        <f t="shared" si="42"/>
        <v/>
      </c>
    </row>
    <row r="212" spans="2:34">
      <c r="B212" s="166" t="s">
        <v>340</v>
      </c>
      <c r="C212" s="150"/>
      <c r="D212" s="150" t="s">
        <v>116</v>
      </c>
      <c r="E212" s="150" t="s">
        <v>142</v>
      </c>
      <c r="F212" s="150" t="s">
        <v>763</v>
      </c>
      <c r="G212" s="146"/>
      <c r="H212" s="155"/>
      <c r="I212" s="135">
        <f t="shared" si="43"/>
        <v>0</v>
      </c>
      <c r="J212" s="147"/>
      <c r="K212" s="155">
        <v>346.01834441892203</v>
      </c>
      <c r="L212" s="88">
        <f t="shared" si="44"/>
        <v>258.27714467011617</v>
      </c>
      <c r="M212" s="160">
        <v>89368.63</v>
      </c>
      <c r="N212" s="167">
        <v>2016</v>
      </c>
      <c r="O212" s="167">
        <f>IFERROR(('General Input Sheet'!$G$38/(VLOOKUP(N212,'General Input Sheet'!$E$38:$G$44,3,FALSE))),1)</f>
        <v>1</v>
      </c>
      <c r="P212" s="189">
        <f t="shared" si="36"/>
        <v>89368.63</v>
      </c>
      <c r="Q212" s="89" t="str">
        <f t="shared" si="35"/>
        <v/>
      </c>
      <c r="R212" s="89" t="str">
        <f t="shared" si="35"/>
        <v/>
      </c>
      <c r="S212" s="89" t="str">
        <f t="shared" si="35"/>
        <v/>
      </c>
      <c r="T212" s="89" t="str">
        <f t="shared" si="35"/>
        <v>y</v>
      </c>
      <c r="U212" s="254" t="str">
        <f t="shared" si="35"/>
        <v/>
      </c>
      <c r="V212" s="308"/>
      <c r="W212" s="309" t="str" cm="1">
        <f t="array" ref="W212">_xlfn.IFS(AND(Q212="y",$D212="Local"), 1, AND(Q212="y",$D212&lt;&gt;"Local"),1.49009696454663%, Q212="","")</f>
        <v/>
      </c>
      <c r="X212" s="272" t="str" cm="1">
        <f t="array" ref="X212">_xlfn.IFS(AND(R212="y",$D212="Local"), 1, AND(R212="y",$D212&lt;&gt;"Local"),20.7557554582461%, R212="","")</f>
        <v/>
      </c>
      <c r="Y212" s="272" t="str" cm="1">
        <f t="array" ref="Y212">_xlfn.IFS(AND(S212="y",$D212="Local"), 1, AND(S212="y",$D212&lt;&gt;"Local"),30.3499104327336%, S212="","")</f>
        <v/>
      </c>
      <c r="Z212" s="272" cm="1">
        <f t="array" ref="Z212">_xlfn.IFS(AND(T212="y",$D212="Local"), 1, AND(T212="y",$D212&lt;&gt;"Local"),29.0043833288201%, T212="","")</f>
        <v>1</v>
      </c>
      <c r="AA212" s="272" t="str" cm="1">
        <f t="array" ref="AA212">_xlfn.IFS(AND(U212="y",$D212="Local"), 1, AND(U212="y",$D212&lt;&gt;"Local"),18.3998538156536%, U212="","")</f>
        <v/>
      </c>
      <c r="AB212" s="68">
        <f t="shared" si="37"/>
        <v>1</v>
      </c>
      <c r="AD212" s="306" t="str">
        <f t="shared" si="38"/>
        <v/>
      </c>
      <c r="AE212" s="242" t="str">
        <f t="shared" si="39"/>
        <v/>
      </c>
      <c r="AF212" s="242" t="str">
        <f t="shared" si="40"/>
        <v/>
      </c>
      <c r="AG212" s="242">
        <f t="shared" si="41"/>
        <v>89368.63</v>
      </c>
      <c r="AH212" s="352" t="str">
        <f t="shared" si="42"/>
        <v/>
      </c>
    </row>
    <row r="213" spans="2:34">
      <c r="B213" s="166" t="s">
        <v>341</v>
      </c>
      <c r="C213" s="150"/>
      <c r="D213" s="150" t="s">
        <v>116</v>
      </c>
      <c r="E213" s="150" t="s">
        <v>140</v>
      </c>
      <c r="F213" s="150" t="s">
        <v>764</v>
      </c>
      <c r="G213" s="146"/>
      <c r="H213" s="155"/>
      <c r="I213" s="135">
        <f t="shared" si="43"/>
        <v>0</v>
      </c>
      <c r="J213" s="147"/>
      <c r="K213" s="155">
        <v>405.76807634267698</v>
      </c>
      <c r="L213" s="88">
        <f t="shared" si="44"/>
        <v>119.77285260597139</v>
      </c>
      <c r="M213" s="160">
        <v>48600</v>
      </c>
      <c r="N213" s="167">
        <v>2016</v>
      </c>
      <c r="O213" s="167">
        <f>IFERROR(('General Input Sheet'!$G$38/(VLOOKUP(N213,'General Input Sheet'!$E$38:$G$44,3,FALSE))),1)</f>
        <v>1</v>
      </c>
      <c r="P213" s="189">
        <f t="shared" si="36"/>
        <v>48600</v>
      </c>
      <c r="Q213" s="89" t="str">
        <f t="shared" si="35"/>
        <v/>
      </c>
      <c r="R213" s="89" t="str">
        <f t="shared" si="35"/>
        <v>y</v>
      </c>
      <c r="S213" s="89" t="str">
        <f t="shared" si="35"/>
        <v/>
      </c>
      <c r="T213" s="89" t="str">
        <f t="shared" si="35"/>
        <v/>
      </c>
      <c r="U213" s="254" t="str">
        <f t="shared" si="35"/>
        <v/>
      </c>
      <c r="V213" s="308"/>
      <c r="W213" s="309" t="str" cm="1">
        <f t="array" ref="W213">_xlfn.IFS(AND(Q213="y",$D213="Local"), 1, AND(Q213="y",$D213&lt;&gt;"Local"),1.49009696454663%, Q213="","")</f>
        <v/>
      </c>
      <c r="X213" s="272" cm="1">
        <f t="array" ref="X213">_xlfn.IFS(AND(R213="y",$D213="Local"), 1, AND(R213="y",$D213&lt;&gt;"Local"),20.7557554582461%, R213="","")</f>
        <v>1</v>
      </c>
      <c r="Y213" s="272" t="str" cm="1">
        <f t="array" ref="Y213">_xlfn.IFS(AND(S213="y",$D213="Local"), 1, AND(S213="y",$D213&lt;&gt;"Local"),30.3499104327336%, S213="","")</f>
        <v/>
      </c>
      <c r="Z213" s="272" t="str" cm="1">
        <f t="array" ref="Z213">_xlfn.IFS(AND(T213="y",$D213="Local"), 1, AND(T213="y",$D213&lt;&gt;"Local"),29.0043833288201%, T213="","")</f>
        <v/>
      </c>
      <c r="AA213" s="272" t="str" cm="1">
        <f t="array" ref="AA213">_xlfn.IFS(AND(U213="y",$D213="Local"), 1, AND(U213="y",$D213&lt;&gt;"Local"),18.3998538156536%, U213="","")</f>
        <v/>
      </c>
      <c r="AB213" s="68">
        <f t="shared" si="37"/>
        <v>1</v>
      </c>
      <c r="AD213" s="306" t="str">
        <f t="shared" si="38"/>
        <v/>
      </c>
      <c r="AE213" s="242">
        <f t="shared" si="39"/>
        <v>48600</v>
      </c>
      <c r="AF213" s="242" t="str">
        <f t="shared" si="40"/>
        <v/>
      </c>
      <c r="AG213" s="242" t="str">
        <f t="shared" si="41"/>
        <v/>
      </c>
      <c r="AH213" s="352" t="str">
        <f t="shared" si="42"/>
        <v/>
      </c>
    </row>
    <row r="214" spans="2:34">
      <c r="B214" s="166" t="s">
        <v>342</v>
      </c>
      <c r="C214" s="150"/>
      <c r="D214" s="150" t="s">
        <v>116</v>
      </c>
      <c r="E214" s="150" t="s">
        <v>142</v>
      </c>
      <c r="F214" s="150" t="s">
        <v>765</v>
      </c>
      <c r="G214" s="146"/>
      <c r="H214" s="155"/>
      <c r="I214" s="135">
        <f t="shared" si="43"/>
        <v>0</v>
      </c>
      <c r="J214" s="147"/>
      <c r="K214" s="155">
        <v>344.88510368912699</v>
      </c>
      <c r="L214" s="88">
        <f t="shared" si="44"/>
        <v>258.31504187059113</v>
      </c>
      <c r="M214" s="160">
        <v>89089.01</v>
      </c>
      <c r="N214" s="167">
        <v>2016</v>
      </c>
      <c r="O214" s="167">
        <f>IFERROR(('General Input Sheet'!$G$38/(VLOOKUP(N214,'General Input Sheet'!$E$38:$G$44,3,FALSE))),1)</f>
        <v>1</v>
      </c>
      <c r="P214" s="189">
        <f t="shared" si="36"/>
        <v>89089.01</v>
      </c>
      <c r="Q214" s="89" t="str">
        <f t="shared" si="35"/>
        <v/>
      </c>
      <c r="R214" s="89" t="str">
        <f t="shared" si="35"/>
        <v/>
      </c>
      <c r="S214" s="89" t="str">
        <f t="shared" si="35"/>
        <v/>
      </c>
      <c r="T214" s="89" t="str">
        <f t="shared" si="35"/>
        <v>y</v>
      </c>
      <c r="U214" s="254" t="str">
        <f t="shared" si="35"/>
        <v/>
      </c>
      <c r="V214" s="308"/>
      <c r="W214" s="309" t="str" cm="1">
        <f t="array" ref="W214">_xlfn.IFS(AND(Q214="y",$D214="Local"), 1, AND(Q214="y",$D214&lt;&gt;"Local"),1.49009696454663%, Q214="","")</f>
        <v/>
      </c>
      <c r="X214" s="272" t="str" cm="1">
        <f t="array" ref="X214">_xlfn.IFS(AND(R214="y",$D214="Local"), 1, AND(R214="y",$D214&lt;&gt;"Local"),20.7557554582461%, R214="","")</f>
        <v/>
      </c>
      <c r="Y214" s="272" t="str" cm="1">
        <f t="array" ref="Y214">_xlfn.IFS(AND(S214="y",$D214="Local"), 1, AND(S214="y",$D214&lt;&gt;"Local"),30.3499104327336%, S214="","")</f>
        <v/>
      </c>
      <c r="Z214" s="272" cm="1">
        <f t="array" ref="Z214">_xlfn.IFS(AND(T214="y",$D214="Local"), 1, AND(T214="y",$D214&lt;&gt;"Local"),29.0043833288201%, T214="","")</f>
        <v>1</v>
      </c>
      <c r="AA214" s="272" t="str" cm="1">
        <f t="array" ref="AA214">_xlfn.IFS(AND(U214="y",$D214="Local"), 1, AND(U214="y",$D214&lt;&gt;"Local"),18.3998538156536%, U214="","")</f>
        <v/>
      </c>
      <c r="AB214" s="68">
        <f t="shared" si="37"/>
        <v>1</v>
      </c>
      <c r="AD214" s="306" t="str">
        <f t="shared" si="38"/>
        <v/>
      </c>
      <c r="AE214" s="242" t="str">
        <f t="shared" si="39"/>
        <v/>
      </c>
      <c r="AF214" s="242" t="str">
        <f t="shared" si="40"/>
        <v/>
      </c>
      <c r="AG214" s="242">
        <f t="shared" si="41"/>
        <v>89089.01</v>
      </c>
      <c r="AH214" s="352" t="str">
        <f t="shared" si="42"/>
        <v/>
      </c>
    </row>
    <row r="215" spans="2:34">
      <c r="B215" s="166" t="s">
        <v>343</v>
      </c>
      <c r="C215" s="150"/>
      <c r="D215" s="150" t="s">
        <v>116</v>
      </c>
      <c r="E215" s="150" t="s">
        <v>140</v>
      </c>
      <c r="F215" s="150" t="s">
        <v>766</v>
      </c>
      <c r="G215" s="146"/>
      <c r="H215" s="155"/>
      <c r="I215" s="135">
        <f t="shared" si="43"/>
        <v>0</v>
      </c>
      <c r="J215" s="147"/>
      <c r="K215" s="155">
        <v>405.91695181775998</v>
      </c>
      <c r="L215" s="88">
        <f t="shared" si="44"/>
        <v>119.72892430917594</v>
      </c>
      <c r="M215" s="160">
        <v>48600</v>
      </c>
      <c r="N215" s="167">
        <v>2016</v>
      </c>
      <c r="O215" s="167">
        <f>IFERROR(('General Input Sheet'!$G$38/(VLOOKUP(N215,'General Input Sheet'!$E$38:$G$44,3,FALSE))),1)</f>
        <v>1</v>
      </c>
      <c r="P215" s="189">
        <f t="shared" si="36"/>
        <v>48600</v>
      </c>
      <c r="Q215" s="89" t="str">
        <f t="shared" si="35"/>
        <v/>
      </c>
      <c r="R215" s="89" t="str">
        <f t="shared" si="35"/>
        <v>y</v>
      </c>
      <c r="S215" s="89" t="str">
        <f t="shared" si="35"/>
        <v/>
      </c>
      <c r="T215" s="89" t="str">
        <f t="shared" si="35"/>
        <v/>
      </c>
      <c r="U215" s="254" t="str">
        <f t="shared" si="35"/>
        <v/>
      </c>
      <c r="V215" s="308"/>
      <c r="W215" s="309" t="str" cm="1">
        <f t="array" ref="W215">_xlfn.IFS(AND(Q215="y",$D215="Local"), 1, AND(Q215="y",$D215&lt;&gt;"Local"),1.49009696454663%, Q215="","")</f>
        <v/>
      </c>
      <c r="X215" s="272" cm="1">
        <f t="array" ref="X215">_xlfn.IFS(AND(R215="y",$D215="Local"), 1, AND(R215="y",$D215&lt;&gt;"Local"),20.7557554582461%, R215="","")</f>
        <v>1</v>
      </c>
      <c r="Y215" s="272" t="str" cm="1">
        <f t="array" ref="Y215">_xlfn.IFS(AND(S215="y",$D215="Local"), 1, AND(S215="y",$D215&lt;&gt;"Local"),30.3499104327336%, S215="","")</f>
        <v/>
      </c>
      <c r="Z215" s="272" t="str" cm="1">
        <f t="array" ref="Z215">_xlfn.IFS(AND(T215="y",$D215="Local"), 1, AND(T215="y",$D215&lt;&gt;"Local"),29.0043833288201%, T215="","")</f>
        <v/>
      </c>
      <c r="AA215" s="272" t="str" cm="1">
        <f t="array" ref="AA215">_xlfn.IFS(AND(U215="y",$D215="Local"), 1, AND(U215="y",$D215&lt;&gt;"Local"),18.3998538156536%, U215="","")</f>
        <v/>
      </c>
      <c r="AB215" s="68">
        <f t="shared" si="37"/>
        <v>1</v>
      </c>
      <c r="AD215" s="306" t="str">
        <f t="shared" si="38"/>
        <v/>
      </c>
      <c r="AE215" s="242">
        <f t="shared" si="39"/>
        <v>48600</v>
      </c>
      <c r="AF215" s="242" t="str">
        <f t="shared" si="40"/>
        <v/>
      </c>
      <c r="AG215" s="242" t="str">
        <f t="shared" si="41"/>
        <v/>
      </c>
      <c r="AH215" s="352" t="str">
        <f t="shared" si="42"/>
        <v/>
      </c>
    </row>
    <row r="216" spans="2:34">
      <c r="B216" s="166" t="s">
        <v>344</v>
      </c>
      <c r="C216" s="150"/>
      <c r="D216" s="150" t="s">
        <v>116</v>
      </c>
      <c r="E216" s="150" t="s">
        <v>142</v>
      </c>
      <c r="F216" s="150" t="s">
        <v>767</v>
      </c>
      <c r="G216" s="146"/>
      <c r="H216" s="155"/>
      <c r="I216" s="135">
        <f t="shared" si="43"/>
        <v>0</v>
      </c>
      <c r="J216" s="147"/>
      <c r="K216" s="155">
        <v>343.76523231926501</v>
      </c>
      <c r="L216" s="88">
        <f t="shared" si="44"/>
        <v>258.3602751237932</v>
      </c>
      <c r="M216" s="160">
        <v>88815.28</v>
      </c>
      <c r="N216" s="167">
        <v>2016</v>
      </c>
      <c r="O216" s="167">
        <f>IFERROR(('General Input Sheet'!$G$38/(VLOOKUP(N216,'General Input Sheet'!$E$38:$G$44,3,FALSE))),1)</f>
        <v>1</v>
      </c>
      <c r="P216" s="189">
        <f t="shared" si="36"/>
        <v>88815.28</v>
      </c>
      <c r="Q216" s="89" t="str">
        <f t="shared" si="35"/>
        <v/>
      </c>
      <c r="R216" s="89" t="str">
        <f t="shared" si="35"/>
        <v/>
      </c>
      <c r="S216" s="89" t="str">
        <f t="shared" si="35"/>
        <v/>
      </c>
      <c r="T216" s="89" t="str">
        <f t="shared" si="35"/>
        <v>y</v>
      </c>
      <c r="U216" s="254" t="str">
        <f t="shared" si="35"/>
        <v/>
      </c>
      <c r="V216" s="308"/>
      <c r="W216" s="309" t="str" cm="1">
        <f t="array" ref="W216">_xlfn.IFS(AND(Q216="y",$D216="Local"), 1, AND(Q216="y",$D216&lt;&gt;"Local"),1.49009696454663%, Q216="","")</f>
        <v/>
      </c>
      <c r="X216" s="272" t="str" cm="1">
        <f t="array" ref="X216">_xlfn.IFS(AND(R216="y",$D216="Local"), 1, AND(R216="y",$D216&lt;&gt;"Local"),20.7557554582461%, R216="","")</f>
        <v/>
      </c>
      <c r="Y216" s="272" t="str" cm="1">
        <f t="array" ref="Y216">_xlfn.IFS(AND(S216="y",$D216="Local"), 1, AND(S216="y",$D216&lt;&gt;"Local"),30.3499104327336%, S216="","")</f>
        <v/>
      </c>
      <c r="Z216" s="272" cm="1">
        <f t="array" ref="Z216">_xlfn.IFS(AND(T216="y",$D216="Local"), 1, AND(T216="y",$D216&lt;&gt;"Local"),29.0043833288201%, T216="","")</f>
        <v>1</v>
      </c>
      <c r="AA216" s="272" t="str" cm="1">
        <f t="array" ref="AA216">_xlfn.IFS(AND(U216="y",$D216="Local"), 1, AND(U216="y",$D216&lt;&gt;"Local"),18.3998538156536%, U216="","")</f>
        <v/>
      </c>
      <c r="AB216" s="68">
        <f t="shared" si="37"/>
        <v>1</v>
      </c>
      <c r="AD216" s="306" t="str">
        <f t="shared" si="38"/>
        <v/>
      </c>
      <c r="AE216" s="242" t="str">
        <f t="shared" si="39"/>
        <v/>
      </c>
      <c r="AF216" s="242" t="str">
        <f t="shared" si="40"/>
        <v/>
      </c>
      <c r="AG216" s="242">
        <f t="shared" si="41"/>
        <v>88815.28</v>
      </c>
      <c r="AH216" s="352" t="str">
        <f t="shared" si="42"/>
        <v/>
      </c>
    </row>
    <row r="217" spans="2:34">
      <c r="B217" s="166" t="s">
        <v>345</v>
      </c>
      <c r="C217" s="150"/>
      <c r="D217" s="150" t="s">
        <v>116</v>
      </c>
      <c r="E217" s="150" t="s">
        <v>140</v>
      </c>
      <c r="F217" s="150" t="s">
        <v>768</v>
      </c>
      <c r="G217" s="146"/>
      <c r="H217" s="155"/>
      <c r="I217" s="135">
        <f t="shared" si="43"/>
        <v>0</v>
      </c>
      <c r="J217" s="147"/>
      <c r="K217" s="155">
        <v>405.925697968137</v>
      </c>
      <c r="L217" s="88">
        <f t="shared" si="44"/>
        <v>119.72634460756619</v>
      </c>
      <c r="M217" s="160">
        <v>48600</v>
      </c>
      <c r="N217" s="167">
        <v>2016</v>
      </c>
      <c r="O217" s="167">
        <f>IFERROR(('General Input Sheet'!$G$38/(VLOOKUP(N217,'General Input Sheet'!$E$38:$G$44,3,FALSE))),1)</f>
        <v>1</v>
      </c>
      <c r="P217" s="189">
        <f t="shared" si="36"/>
        <v>48600</v>
      </c>
      <c r="Q217" s="89" t="str">
        <f t="shared" si="35"/>
        <v/>
      </c>
      <c r="R217" s="89" t="str">
        <f t="shared" si="35"/>
        <v>y</v>
      </c>
      <c r="S217" s="89" t="str">
        <f t="shared" si="35"/>
        <v/>
      </c>
      <c r="T217" s="89" t="str">
        <f t="shared" si="35"/>
        <v/>
      </c>
      <c r="U217" s="254" t="str">
        <f t="shared" si="35"/>
        <v/>
      </c>
      <c r="V217" s="308"/>
      <c r="W217" s="309" t="str" cm="1">
        <f t="array" ref="W217">_xlfn.IFS(AND(Q217="y",$D217="Local"), 1, AND(Q217="y",$D217&lt;&gt;"Local"),1.49009696454663%, Q217="","")</f>
        <v/>
      </c>
      <c r="X217" s="272" cm="1">
        <f t="array" ref="X217">_xlfn.IFS(AND(R217="y",$D217="Local"), 1, AND(R217="y",$D217&lt;&gt;"Local"),20.7557554582461%, R217="","")</f>
        <v>1</v>
      </c>
      <c r="Y217" s="272" t="str" cm="1">
        <f t="array" ref="Y217">_xlfn.IFS(AND(S217="y",$D217="Local"), 1, AND(S217="y",$D217&lt;&gt;"Local"),30.3499104327336%, S217="","")</f>
        <v/>
      </c>
      <c r="Z217" s="272" t="str" cm="1">
        <f t="array" ref="Z217">_xlfn.IFS(AND(T217="y",$D217="Local"), 1, AND(T217="y",$D217&lt;&gt;"Local"),29.0043833288201%, T217="","")</f>
        <v/>
      </c>
      <c r="AA217" s="272" t="str" cm="1">
        <f t="array" ref="AA217">_xlfn.IFS(AND(U217="y",$D217="Local"), 1, AND(U217="y",$D217&lt;&gt;"Local"),18.3998538156536%, U217="","")</f>
        <v/>
      </c>
      <c r="AB217" s="68">
        <f t="shared" si="37"/>
        <v>1</v>
      </c>
      <c r="AD217" s="306" t="str">
        <f t="shared" si="38"/>
        <v/>
      </c>
      <c r="AE217" s="242">
        <f t="shared" si="39"/>
        <v>48600</v>
      </c>
      <c r="AF217" s="242" t="str">
        <f t="shared" si="40"/>
        <v/>
      </c>
      <c r="AG217" s="242" t="str">
        <f t="shared" si="41"/>
        <v/>
      </c>
      <c r="AH217" s="352" t="str">
        <f t="shared" si="42"/>
        <v/>
      </c>
    </row>
    <row r="218" spans="2:34">
      <c r="B218" s="166" t="s">
        <v>346</v>
      </c>
      <c r="C218" s="150"/>
      <c r="D218" s="150" t="s">
        <v>116</v>
      </c>
      <c r="E218" s="150" t="s">
        <v>142</v>
      </c>
      <c r="F218" s="150" t="s">
        <v>769</v>
      </c>
      <c r="G218" s="146"/>
      <c r="H218" s="155"/>
      <c r="I218" s="135">
        <f t="shared" si="43"/>
        <v>0</v>
      </c>
      <c r="J218" s="147"/>
      <c r="K218" s="155">
        <v>342.58470381998501</v>
      </c>
      <c r="L218" s="88">
        <f t="shared" si="44"/>
        <v>258.44566033667428</v>
      </c>
      <c r="M218" s="160">
        <v>88539.53</v>
      </c>
      <c r="N218" s="167">
        <v>2016</v>
      </c>
      <c r="O218" s="167">
        <f>IFERROR(('General Input Sheet'!$G$38/(VLOOKUP(N218,'General Input Sheet'!$E$38:$G$44,3,FALSE))),1)</f>
        <v>1</v>
      </c>
      <c r="P218" s="189">
        <f t="shared" si="36"/>
        <v>88539.53</v>
      </c>
      <c r="Q218" s="89" t="str">
        <f t="shared" si="35"/>
        <v/>
      </c>
      <c r="R218" s="89" t="str">
        <f t="shared" si="35"/>
        <v/>
      </c>
      <c r="S218" s="89" t="str">
        <f t="shared" si="35"/>
        <v/>
      </c>
      <c r="T218" s="89" t="str">
        <f t="shared" si="35"/>
        <v>y</v>
      </c>
      <c r="U218" s="254" t="str">
        <f t="shared" si="35"/>
        <v/>
      </c>
      <c r="V218" s="308"/>
      <c r="W218" s="309" t="str" cm="1">
        <f t="array" ref="W218">_xlfn.IFS(AND(Q218="y",$D218="Local"), 1, AND(Q218="y",$D218&lt;&gt;"Local"),1.49009696454663%, Q218="","")</f>
        <v/>
      </c>
      <c r="X218" s="272" t="str" cm="1">
        <f t="array" ref="X218">_xlfn.IFS(AND(R218="y",$D218="Local"), 1, AND(R218="y",$D218&lt;&gt;"Local"),20.7557554582461%, R218="","")</f>
        <v/>
      </c>
      <c r="Y218" s="272" t="str" cm="1">
        <f t="array" ref="Y218">_xlfn.IFS(AND(S218="y",$D218="Local"), 1, AND(S218="y",$D218&lt;&gt;"Local"),30.3499104327336%, S218="","")</f>
        <v/>
      </c>
      <c r="Z218" s="272" cm="1">
        <f t="array" ref="Z218">_xlfn.IFS(AND(T218="y",$D218="Local"), 1, AND(T218="y",$D218&lt;&gt;"Local"),29.0043833288201%, T218="","")</f>
        <v>1</v>
      </c>
      <c r="AA218" s="272" t="str" cm="1">
        <f t="array" ref="AA218">_xlfn.IFS(AND(U218="y",$D218="Local"), 1, AND(U218="y",$D218&lt;&gt;"Local"),18.3998538156536%, U218="","")</f>
        <v/>
      </c>
      <c r="AB218" s="68">
        <f t="shared" si="37"/>
        <v>1</v>
      </c>
      <c r="AD218" s="306" t="str">
        <f t="shared" si="38"/>
        <v/>
      </c>
      <c r="AE218" s="242" t="str">
        <f t="shared" si="39"/>
        <v/>
      </c>
      <c r="AF218" s="242" t="str">
        <f t="shared" si="40"/>
        <v/>
      </c>
      <c r="AG218" s="242">
        <f t="shared" si="41"/>
        <v>88539.53</v>
      </c>
      <c r="AH218" s="352" t="str">
        <f t="shared" si="42"/>
        <v/>
      </c>
    </row>
    <row r="219" spans="2:34">
      <c r="B219" s="166" t="s">
        <v>347</v>
      </c>
      <c r="C219" s="150"/>
      <c r="D219" s="150" t="s">
        <v>116</v>
      </c>
      <c r="E219" s="150" t="s">
        <v>142</v>
      </c>
      <c r="F219" s="150" t="s">
        <v>770</v>
      </c>
      <c r="G219" s="146"/>
      <c r="H219" s="155"/>
      <c r="I219" s="135">
        <f t="shared" si="43"/>
        <v>0</v>
      </c>
      <c r="J219" s="147"/>
      <c r="K219" s="155">
        <v>341.43150654277599</v>
      </c>
      <c r="L219" s="88">
        <f t="shared" si="44"/>
        <v>258.51337181427289</v>
      </c>
      <c r="M219" s="160">
        <v>88264.61</v>
      </c>
      <c r="N219" s="167">
        <v>2016</v>
      </c>
      <c r="O219" s="167">
        <f>IFERROR(('General Input Sheet'!$G$38/(VLOOKUP(N219,'General Input Sheet'!$E$38:$G$44,3,FALSE))),1)</f>
        <v>1</v>
      </c>
      <c r="P219" s="189">
        <f t="shared" si="36"/>
        <v>88264.61</v>
      </c>
      <c r="Q219" s="89" t="str">
        <f t="shared" si="35"/>
        <v/>
      </c>
      <c r="R219" s="89" t="str">
        <f t="shared" si="35"/>
        <v/>
      </c>
      <c r="S219" s="89" t="str">
        <f t="shared" si="35"/>
        <v/>
      </c>
      <c r="T219" s="89" t="str">
        <f t="shared" si="35"/>
        <v>y</v>
      </c>
      <c r="U219" s="254" t="str">
        <f t="shared" si="35"/>
        <v/>
      </c>
      <c r="V219" s="308"/>
      <c r="W219" s="309" t="str" cm="1">
        <f t="array" ref="W219">_xlfn.IFS(AND(Q219="y",$D219="Local"), 1, AND(Q219="y",$D219&lt;&gt;"Local"),1.49009696454663%, Q219="","")</f>
        <v/>
      </c>
      <c r="X219" s="272" t="str" cm="1">
        <f t="array" ref="X219">_xlfn.IFS(AND(R219="y",$D219="Local"), 1, AND(R219="y",$D219&lt;&gt;"Local"),20.7557554582461%, R219="","")</f>
        <v/>
      </c>
      <c r="Y219" s="272" t="str" cm="1">
        <f t="array" ref="Y219">_xlfn.IFS(AND(S219="y",$D219="Local"), 1, AND(S219="y",$D219&lt;&gt;"Local"),30.3499104327336%, S219="","")</f>
        <v/>
      </c>
      <c r="Z219" s="272" cm="1">
        <f t="array" ref="Z219">_xlfn.IFS(AND(T219="y",$D219="Local"), 1, AND(T219="y",$D219&lt;&gt;"Local"),29.0043833288201%, T219="","")</f>
        <v>1</v>
      </c>
      <c r="AA219" s="272" t="str" cm="1">
        <f t="array" ref="AA219">_xlfn.IFS(AND(U219="y",$D219="Local"), 1, AND(U219="y",$D219&lt;&gt;"Local"),18.3998538156536%, U219="","")</f>
        <v/>
      </c>
      <c r="AB219" s="68">
        <f t="shared" si="37"/>
        <v>1</v>
      </c>
      <c r="AD219" s="306" t="str">
        <f t="shared" si="38"/>
        <v/>
      </c>
      <c r="AE219" s="242" t="str">
        <f t="shared" si="39"/>
        <v/>
      </c>
      <c r="AF219" s="242" t="str">
        <f t="shared" si="40"/>
        <v/>
      </c>
      <c r="AG219" s="242">
        <f t="shared" si="41"/>
        <v>88264.61</v>
      </c>
      <c r="AH219" s="352" t="str">
        <f t="shared" si="42"/>
        <v/>
      </c>
    </row>
    <row r="220" spans="2:34">
      <c r="B220" s="166" t="s">
        <v>348</v>
      </c>
      <c r="C220" s="150"/>
      <c r="D220" s="150" t="s">
        <v>116</v>
      </c>
      <c r="E220" s="150" t="s">
        <v>142</v>
      </c>
      <c r="F220" s="150" t="s">
        <v>771</v>
      </c>
      <c r="G220" s="146"/>
      <c r="H220" s="155"/>
      <c r="I220" s="135">
        <f t="shared" si="43"/>
        <v>0</v>
      </c>
      <c r="J220" s="147"/>
      <c r="K220" s="155">
        <v>340.281818420403</v>
      </c>
      <c r="L220" s="88">
        <f t="shared" si="44"/>
        <v>258.56826676321896</v>
      </c>
      <c r="M220" s="160">
        <v>87986.08</v>
      </c>
      <c r="N220" s="167">
        <v>2016</v>
      </c>
      <c r="O220" s="167">
        <f>IFERROR(('General Input Sheet'!$G$38/(VLOOKUP(N220,'General Input Sheet'!$E$38:$G$44,3,FALSE))),1)</f>
        <v>1</v>
      </c>
      <c r="P220" s="189">
        <f t="shared" si="36"/>
        <v>87986.08</v>
      </c>
      <c r="Q220" s="89" t="str">
        <f t="shared" si="35"/>
        <v/>
      </c>
      <c r="R220" s="89" t="str">
        <f t="shared" si="35"/>
        <v/>
      </c>
      <c r="S220" s="89" t="str">
        <f t="shared" si="35"/>
        <v/>
      </c>
      <c r="T220" s="89" t="str">
        <f t="shared" si="35"/>
        <v>y</v>
      </c>
      <c r="U220" s="254" t="str">
        <f t="shared" si="35"/>
        <v/>
      </c>
      <c r="V220" s="308"/>
      <c r="W220" s="309" t="str" cm="1">
        <f t="array" ref="W220">_xlfn.IFS(AND(Q220="y",$D220="Local"), 1, AND(Q220="y",$D220&lt;&gt;"Local"),1.49009696454663%, Q220="","")</f>
        <v/>
      </c>
      <c r="X220" s="272" t="str" cm="1">
        <f t="array" ref="X220">_xlfn.IFS(AND(R220="y",$D220="Local"), 1, AND(R220="y",$D220&lt;&gt;"Local"),20.7557554582461%, R220="","")</f>
        <v/>
      </c>
      <c r="Y220" s="272" t="str" cm="1">
        <f t="array" ref="Y220">_xlfn.IFS(AND(S220="y",$D220="Local"), 1, AND(S220="y",$D220&lt;&gt;"Local"),30.3499104327336%, S220="","")</f>
        <v/>
      </c>
      <c r="Z220" s="272" cm="1">
        <f t="array" ref="Z220">_xlfn.IFS(AND(T220="y",$D220="Local"), 1, AND(T220="y",$D220&lt;&gt;"Local"),29.0043833288201%, T220="","")</f>
        <v>1</v>
      </c>
      <c r="AA220" s="272" t="str" cm="1">
        <f t="array" ref="AA220">_xlfn.IFS(AND(U220="y",$D220="Local"), 1, AND(U220="y",$D220&lt;&gt;"Local"),18.3998538156536%, U220="","")</f>
        <v/>
      </c>
      <c r="AB220" s="68">
        <f t="shared" si="37"/>
        <v>1</v>
      </c>
      <c r="AD220" s="306" t="str">
        <f t="shared" si="38"/>
        <v/>
      </c>
      <c r="AE220" s="242" t="str">
        <f t="shared" si="39"/>
        <v/>
      </c>
      <c r="AF220" s="242" t="str">
        <f t="shared" si="40"/>
        <v/>
      </c>
      <c r="AG220" s="242">
        <f t="shared" si="41"/>
        <v>87986.08</v>
      </c>
      <c r="AH220" s="352" t="str">
        <f t="shared" si="42"/>
        <v/>
      </c>
    </row>
    <row r="221" spans="2:34">
      <c r="B221" s="166" t="s">
        <v>349</v>
      </c>
      <c r="C221" s="150"/>
      <c r="D221" s="150" t="s">
        <v>116</v>
      </c>
      <c r="E221" s="150" t="s">
        <v>142</v>
      </c>
      <c r="F221" s="150" t="s">
        <v>772</v>
      </c>
      <c r="G221" s="146"/>
      <c r="H221" s="155"/>
      <c r="I221" s="135">
        <f t="shared" si="43"/>
        <v>0</v>
      </c>
      <c r="J221" s="147"/>
      <c r="K221" s="155">
        <v>33.942852431774803</v>
      </c>
      <c r="L221" s="88">
        <f t="shared" si="44"/>
        <v>342.07879326990542</v>
      </c>
      <c r="M221" s="160">
        <v>11611.13</v>
      </c>
      <c r="N221" s="167">
        <v>2016</v>
      </c>
      <c r="O221" s="167">
        <f>IFERROR(('General Input Sheet'!$G$38/(VLOOKUP(N221,'General Input Sheet'!$E$38:$G$44,3,FALSE))),1)</f>
        <v>1</v>
      </c>
      <c r="P221" s="189">
        <f t="shared" si="36"/>
        <v>11611.13</v>
      </c>
      <c r="Q221" s="89" t="str">
        <f t="shared" si="35"/>
        <v/>
      </c>
      <c r="R221" s="89" t="str">
        <f t="shared" si="35"/>
        <v/>
      </c>
      <c r="S221" s="89" t="str">
        <f t="shared" si="35"/>
        <v/>
      </c>
      <c r="T221" s="89" t="str">
        <f t="shared" si="35"/>
        <v>y</v>
      </c>
      <c r="U221" s="254" t="str">
        <f t="shared" si="35"/>
        <v/>
      </c>
      <c r="V221" s="308"/>
      <c r="W221" s="309" t="str" cm="1">
        <f t="array" ref="W221">_xlfn.IFS(AND(Q221="y",$D221="Local"), 1, AND(Q221="y",$D221&lt;&gt;"Local"),1.49009696454663%, Q221="","")</f>
        <v/>
      </c>
      <c r="X221" s="272" t="str" cm="1">
        <f t="array" ref="X221">_xlfn.IFS(AND(R221="y",$D221="Local"), 1, AND(R221="y",$D221&lt;&gt;"Local"),20.7557554582461%, R221="","")</f>
        <v/>
      </c>
      <c r="Y221" s="272" t="str" cm="1">
        <f t="array" ref="Y221">_xlfn.IFS(AND(S221="y",$D221="Local"), 1, AND(S221="y",$D221&lt;&gt;"Local"),30.3499104327336%, S221="","")</f>
        <v/>
      </c>
      <c r="Z221" s="272" cm="1">
        <f t="array" ref="Z221">_xlfn.IFS(AND(T221="y",$D221="Local"), 1, AND(T221="y",$D221&lt;&gt;"Local"),29.0043833288201%, T221="","")</f>
        <v>1</v>
      </c>
      <c r="AA221" s="272" t="str" cm="1">
        <f t="array" ref="AA221">_xlfn.IFS(AND(U221="y",$D221="Local"), 1, AND(U221="y",$D221&lt;&gt;"Local"),18.3998538156536%, U221="","")</f>
        <v/>
      </c>
      <c r="AB221" s="68">
        <f t="shared" si="37"/>
        <v>1</v>
      </c>
      <c r="AD221" s="306" t="str">
        <f t="shared" si="38"/>
        <v/>
      </c>
      <c r="AE221" s="242" t="str">
        <f t="shared" si="39"/>
        <v/>
      </c>
      <c r="AF221" s="242" t="str">
        <f t="shared" si="40"/>
        <v/>
      </c>
      <c r="AG221" s="242">
        <f t="shared" si="41"/>
        <v>11611.13</v>
      </c>
      <c r="AH221" s="352" t="str">
        <f t="shared" si="42"/>
        <v/>
      </c>
    </row>
    <row r="222" spans="2:34">
      <c r="B222" s="166" t="s">
        <v>350</v>
      </c>
      <c r="C222" s="150"/>
      <c r="D222" s="150" t="s">
        <v>118</v>
      </c>
      <c r="E222" s="150" t="s">
        <v>141</v>
      </c>
      <c r="F222" s="150" t="s">
        <v>773</v>
      </c>
      <c r="G222" s="146"/>
      <c r="H222" s="155"/>
      <c r="I222" s="135">
        <f t="shared" si="43"/>
        <v>0</v>
      </c>
      <c r="J222" s="147"/>
      <c r="K222" s="155">
        <v>515.22071423294801</v>
      </c>
      <c r="L222" s="88">
        <f t="shared" si="44"/>
        <v>912.42996838720126</v>
      </c>
      <c r="M222" s="160">
        <v>470102.82</v>
      </c>
      <c r="N222" s="167">
        <v>2016</v>
      </c>
      <c r="O222" s="167">
        <f>IFERROR(('General Input Sheet'!$G$38/(VLOOKUP(N222,'General Input Sheet'!$E$38:$G$44,3,FALSE))),1)</f>
        <v>1</v>
      </c>
      <c r="P222" s="189">
        <f t="shared" si="36"/>
        <v>470102.82</v>
      </c>
      <c r="Q222" s="89" t="str">
        <f t="shared" si="35"/>
        <v>y</v>
      </c>
      <c r="R222" s="89" t="str">
        <f t="shared" si="35"/>
        <v>y</v>
      </c>
      <c r="S222" s="89" t="str">
        <f t="shared" si="35"/>
        <v>y</v>
      </c>
      <c r="T222" s="89" t="str">
        <f t="shared" si="35"/>
        <v>y</v>
      </c>
      <c r="U222" s="254" t="str">
        <f t="shared" si="35"/>
        <v>y</v>
      </c>
      <c r="V222" s="308"/>
      <c r="W222" s="309" cm="1">
        <f t="array" ref="W222">_xlfn.IFS(AND(Q222="y",$D222="Local"), 1, AND(Q222="y",$D222&lt;&gt;"Local"),1.49009696454663%, Q222="","")</f>
        <v>1.49009696454663E-2</v>
      </c>
      <c r="X222" s="272" cm="1">
        <f t="array" ref="X222">_xlfn.IFS(AND(R222="y",$D222="Local"), 1, AND(R222="y",$D222&lt;&gt;"Local"),20.7557554582461%, R222="","")</f>
        <v>0.207557554582461</v>
      </c>
      <c r="Y222" s="272" cm="1">
        <f t="array" ref="Y222">_xlfn.IFS(AND(S222="y",$D222="Local"), 1, AND(S222="y",$D222&lt;&gt;"Local"),30.3499104327336%, S222="","")</f>
        <v>0.30349910432733601</v>
      </c>
      <c r="Z222" s="272" cm="1">
        <f t="array" ref="Z222">_xlfn.IFS(AND(T222="y",$D222="Local"), 1, AND(T222="y",$D222&lt;&gt;"Local"),29.0043833288201%, T222="","")</f>
        <v>0.29004383328820099</v>
      </c>
      <c r="AA222" s="272" cm="1">
        <f t="array" ref="AA222">_xlfn.IFS(AND(U222="y",$D222="Local"), 1, AND(U222="y",$D222&lt;&gt;"Local"),18.3998538156536%, U222="","")</f>
        <v>0.183998538156536</v>
      </c>
      <c r="AB222" s="68">
        <f t="shared" si="37"/>
        <v>1.0000000000000004</v>
      </c>
      <c r="AD222" s="306">
        <f t="shared" si="38"/>
        <v>7004.9878510681046</v>
      </c>
      <c r="AE222" s="242">
        <f t="shared" si="39"/>
        <v>97573.391721518798</v>
      </c>
      <c r="AF222" s="242">
        <f t="shared" si="40"/>
        <v>142675.7848117548</v>
      </c>
      <c r="AG222" s="242">
        <f t="shared" si="41"/>
        <v>136350.42395239312</v>
      </c>
      <c r="AH222" s="352">
        <f t="shared" si="42"/>
        <v>86498.231663265135</v>
      </c>
    </row>
    <row r="223" spans="2:34">
      <c r="B223" s="166" t="s">
        <v>351</v>
      </c>
      <c r="C223" s="150"/>
      <c r="D223" s="150" t="s">
        <v>118</v>
      </c>
      <c r="E223" s="150" t="s">
        <v>143</v>
      </c>
      <c r="F223" s="150" t="s">
        <v>774</v>
      </c>
      <c r="G223" s="146">
        <v>56000</v>
      </c>
      <c r="H223" s="155">
        <v>539</v>
      </c>
      <c r="I223" s="135">
        <f t="shared" si="43"/>
        <v>45</v>
      </c>
      <c r="J223" s="147">
        <v>80255</v>
      </c>
      <c r="K223" s="155">
        <v>535.44694665885004</v>
      </c>
      <c r="L223" s="88">
        <f t="shared" si="44"/>
        <v>503.31783882915084</v>
      </c>
      <c r="M223" s="160">
        <v>269500</v>
      </c>
      <c r="N223" s="167">
        <v>2016</v>
      </c>
      <c r="O223" s="167">
        <f>IFERROR(('General Input Sheet'!$G$38/(VLOOKUP(N223,'General Input Sheet'!$E$38:$G$44,3,FALSE))),1)</f>
        <v>1</v>
      </c>
      <c r="P223" s="189">
        <f t="shared" si="36"/>
        <v>349755</v>
      </c>
      <c r="Q223" s="89" t="str">
        <f t="shared" si="35"/>
        <v>y</v>
      </c>
      <c r="R223" s="89" t="str">
        <f t="shared" si="35"/>
        <v>y</v>
      </c>
      <c r="S223" s="89" t="str">
        <f t="shared" si="35"/>
        <v>y</v>
      </c>
      <c r="T223" s="89" t="str">
        <f t="shared" si="35"/>
        <v>y</v>
      </c>
      <c r="U223" s="254" t="str">
        <f t="shared" si="35"/>
        <v>y</v>
      </c>
      <c r="V223" s="308"/>
      <c r="W223" s="309" cm="1">
        <f t="array" ref="W223">_xlfn.IFS(AND(Q223="y",$D223="Local"), 1, AND(Q223="y",$D223&lt;&gt;"Local"),1.49009696454663%, Q223="","")</f>
        <v>1.49009696454663E-2</v>
      </c>
      <c r="X223" s="272" cm="1">
        <f t="array" ref="X223">_xlfn.IFS(AND(R223="y",$D223="Local"), 1, AND(R223="y",$D223&lt;&gt;"Local"),20.7557554582461%, R223="","")</f>
        <v>0.207557554582461</v>
      </c>
      <c r="Y223" s="272" cm="1">
        <f t="array" ref="Y223">_xlfn.IFS(AND(S223="y",$D223="Local"), 1, AND(S223="y",$D223&lt;&gt;"Local"),30.3499104327336%, S223="","")</f>
        <v>0.30349910432733601</v>
      </c>
      <c r="Z223" s="272" cm="1">
        <f t="array" ref="Z223">_xlfn.IFS(AND(T223="y",$D223="Local"), 1, AND(T223="y",$D223&lt;&gt;"Local"),29.0043833288201%, T223="","")</f>
        <v>0.29004383328820099</v>
      </c>
      <c r="AA223" s="272" cm="1">
        <f t="array" ref="AA223">_xlfn.IFS(AND(U223="y",$D223="Local"), 1, AND(U223="y",$D223&lt;&gt;"Local"),18.3998538156536%, U223="","")</f>
        <v>0.183998538156536</v>
      </c>
      <c r="AB223" s="68">
        <f t="shared" si="37"/>
        <v>1.0000000000000004</v>
      </c>
      <c r="AD223" s="306">
        <f t="shared" si="38"/>
        <v>5211.6886383500632</v>
      </c>
      <c r="AE223" s="242">
        <f t="shared" si="39"/>
        <v>72594.292502988625</v>
      </c>
      <c r="AF223" s="242">
        <f t="shared" si="40"/>
        <v>106150.32923400737</v>
      </c>
      <c r="AG223" s="242">
        <f t="shared" si="41"/>
        <v>101444.2809117147</v>
      </c>
      <c r="AH223" s="352">
        <f t="shared" si="42"/>
        <v>64354.408712939221</v>
      </c>
    </row>
    <row r="224" spans="2:34">
      <c r="B224" s="166" t="s">
        <v>352</v>
      </c>
      <c r="C224" s="150"/>
      <c r="D224" s="150" t="s">
        <v>116</v>
      </c>
      <c r="E224" s="150" t="s">
        <v>142</v>
      </c>
      <c r="F224" s="150" t="s">
        <v>775</v>
      </c>
      <c r="G224" s="146"/>
      <c r="H224" s="155"/>
      <c r="I224" s="135">
        <f t="shared" si="43"/>
        <v>0</v>
      </c>
      <c r="J224" s="147"/>
      <c r="K224" s="155">
        <v>339.14990307457902</v>
      </c>
      <c r="L224" s="88">
        <f t="shared" si="44"/>
        <v>298.40176595228303</v>
      </c>
      <c r="M224" s="160">
        <v>101202.93</v>
      </c>
      <c r="N224" s="167">
        <v>2016</v>
      </c>
      <c r="O224" s="167">
        <f>IFERROR(('General Input Sheet'!$G$38/(VLOOKUP(N224,'General Input Sheet'!$E$38:$G$44,3,FALSE))),1)</f>
        <v>1</v>
      </c>
      <c r="P224" s="189">
        <f t="shared" si="36"/>
        <v>101202.93</v>
      </c>
      <c r="Q224" s="89" t="str">
        <f t="shared" si="35"/>
        <v/>
      </c>
      <c r="R224" s="89" t="str">
        <f t="shared" si="35"/>
        <v/>
      </c>
      <c r="S224" s="89" t="str">
        <f t="shared" si="35"/>
        <v/>
      </c>
      <c r="T224" s="89" t="str">
        <f t="shared" si="35"/>
        <v>y</v>
      </c>
      <c r="U224" s="254" t="str">
        <f t="shared" si="35"/>
        <v/>
      </c>
      <c r="V224" s="308"/>
      <c r="W224" s="309" t="str" cm="1">
        <f t="array" ref="W224">_xlfn.IFS(AND(Q224="y",$D224="Local"), 1, AND(Q224="y",$D224&lt;&gt;"Local"),1.49009696454663%, Q224="","")</f>
        <v/>
      </c>
      <c r="X224" s="272" t="str" cm="1">
        <f t="array" ref="X224">_xlfn.IFS(AND(R224="y",$D224="Local"), 1, AND(R224="y",$D224&lt;&gt;"Local"),20.7557554582461%, R224="","")</f>
        <v/>
      </c>
      <c r="Y224" s="272" t="str" cm="1">
        <f t="array" ref="Y224">_xlfn.IFS(AND(S224="y",$D224="Local"), 1, AND(S224="y",$D224&lt;&gt;"Local"),30.3499104327336%, S224="","")</f>
        <v/>
      </c>
      <c r="Z224" s="272" cm="1">
        <f t="array" ref="Z224">_xlfn.IFS(AND(T224="y",$D224="Local"), 1, AND(T224="y",$D224&lt;&gt;"Local"),29.0043833288201%, T224="","")</f>
        <v>1</v>
      </c>
      <c r="AA224" s="272" t="str" cm="1">
        <f t="array" ref="AA224">_xlfn.IFS(AND(U224="y",$D224="Local"), 1, AND(U224="y",$D224&lt;&gt;"Local"),18.3998538156536%, U224="","")</f>
        <v/>
      </c>
      <c r="AB224" s="68">
        <f t="shared" si="37"/>
        <v>1</v>
      </c>
      <c r="AD224" s="306" t="str">
        <f t="shared" si="38"/>
        <v/>
      </c>
      <c r="AE224" s="242" t="str">
        <f t="shared" si="39"/>
        <v/>
      </c>
      <c r="AF224" s="242" t="str">
        <f t="shared" si="40"/>
        <v/>
      </c>
      <c r="AG224" s="242">
        <f t="shared" si="41"/>
        <v>101202.93</v>
      </c>
      <c r="AH224" s="352" t="str">
        <f t="shared" si="42"/>
        <v/>
      </c>
    </row>
    <row r="225" spans="2:34">
      <c r="B225" s="166" t="s">
        <v>353</v>
      </c>
      <c r="C225" s="150"/>
      <c r="D225" s="150" t="s">
        <v>116</v>
      </c>
      <c r="E225" s="150" t="s">
        <v>140</v>
      </c>
      <c r="F225" s="150" t="s">
        <v>776</v>
      </c>
      <c r="G225" s="146"/>
      <c r="H225" s="155"/>
      <c r="I225" s="135">
        <f t="shared" si="43"/>
        <v>0</v>
      </c>
      <c r="J225" s="147"/>
      <c r="K225" s="155">
        <v>406.22947718557202</v>
      </c>
      <c r="L225" s="88">
        <f t="shared" si="44"/>
        <v>125.61865365739742</v>
      </c>
      <c r="M225" s="160">
        <v>51030</v>
      </c>
      <c r="N225" s="167">
        <v>2016</v>
      </c>
      <c r="O225" s="167">
        <f>IFERROR(('General Input Sheet'!$G$38/(VLOOKUP(N225,'General Input Sheet'!$E$38:$G$44,3,FALSE))),1)</f>
        <v>1</v>
      </c>
      <c r="P225" s="189">
        <f t="shared" si="36"/>
        <v>51030</v>
      </c>
      <c r="Q225" s="89" t="str">
        <f t="shared" si="35"/>
        <v/>
      </c>
      <c r="R225" s="89" t="str">
        <f t="shared" si="35"/>
        <v>y</v>
      </c>
      <c r="S225" s="89" t="str">
        <f t="shared" si="35"/>
        <v/>
      </c>
      <c r="T225" s="89" t="str">
        <f t="shared" si="35"/>
        <v/>
      </c>
      <c r="U225" s="254" t="str">
        <f t="shared" si="35"/>
        <v/>
      </c>
      <c r="V225" s="308"/>
      <c r="W225" s="309" t="str" cm="1">
        <f t="array" ref="W225">_xlfn.IFS(AND(Q225="y",$D225="Local"), 1, AND(Q225="y",$D225&lt;&gt;"Local"),1.49009696454663%, Q225="","")</f>
        <v/>
      </c>
      <c r="X225" s="272" cm="1">
        <f t="array" ref="X225">_xlfn.IFS(AND(R225="y",$D225="Local"), 1, AND(R225="y",$D225&lt;&gt;"Local"),20.7557554582461%, R225="","")</f>
        <v>1</v>
      </c>
      <c r="Y225" s="272" t="str" cm="1">
        <f t="array" ref="Y225">_xlfn.IFS(AND(S225="y",$D225="Local"), 1, AND(S225="y",$D225&lt;&gt;"Local"),30.3499104327336%, S225="","")</f>
        <v/>
      </c>
      <c r="Z225" s="272" t="str" cm="1">
        <f t="array" ref="Z225">_xlfn.IFS(AND(T225="y",$D225="Local"), 1, AND(T225="y",$D225&lt;&gt;"Local"),29.0043833288201%, T225="","")</f>
        <v/>
      </c>
      <c r="AA225" s="272" t="str" cm="1">
        <f t="array" ref="AA225">_xlfn.IFS(AND(U225="y",$D225="Local"), 1, AND(U225="y",$D225&lt;&gt;"Local"),18.3998538156536%, U225="","")</f>
        <v/>
      </c>
      <c r="AB225" s="68">
        <f t="shared" si="37"/>
        <v>1</v>
      </c>
      <c r="AD225" s="306" t="str">
        <f t="shared" si="38"/>
        <v/>
      </c>
      <c r="AE225" s="242">
        <f t="shared" si="39"/>
        <v>51030</v>
      </c>
      <c r="AF225" s="242" t="str">
        <f t="shared" si="40"/>
        <v/>
      </c>
      <c r="AG225" s="242" t="str">
        <f t="shared" si="41"/>
        <v/>
      </c>
      <c r="AH225" s="352" t="str">
        <f t="shared" si="42"/>
        <v/>
      </c>
    </row>
    <row r="226" spans="2:34">
      <c r="B226" s="166" t="s">
        <v>354</v>
      </c>
      <c r="C226" s="150"/>
      <c r="D226" s="150" t="s">
        <v>116</v>
      </c>
      <c r="E226" s="150" t="s">
        <v>142</v>
      </c>
      <c r="F226" s="150" t="s">
        <v>777</v>
      </c>
      <c r="G226" s="146"/>
      <c r="H226" s="155"/>
      <c r="I226" s="135">
        <f t="shared" si="43"/>
        <v>0</v>
      </c>
      <c r="J226" s="147"/>
      <c r="K226" s="155">
        <v>337.95615330085599</v>
      </c>
      <c r="L226" s="88">
        <f t="shared" si="44"/>
        <v>298.51464166178408</v>
      </c>
      <c r="M226" s="160">
        <v>100884.86</v>
      </c>
      <c r="N226" s="167">
        <v>2016</v>
      </c>
      <c r="O226" s="167">
        <f>IFERROR(('General Input Sheet'!$G$38/(VLOOKUP(N226,'General Input Sheet'!$E$38:$G$44,3,FALSE))),1)</f>
        <v>1</v>
      </c>
      <c r="P226" s="189">
        <f t="shared" si="36"/>
        <v>100884.86</v>
      </c>
      <c r="Q226" s="89" t="str">
        <f t="shared" si="35"/>
        <v/>
      </c>
      <c r="R226" s="89" t="str">
        <f t="shared" si="35"/>
        <v/>
      </c>
      <c r="S226" s="89" t="str">
        <f t="shared" si="35"/>
        <v/>
      </c>
      <c r="T226" s="89" t="str">
        <f t="shared" si="35"/>
        <v>y</v>
      </c>
      <c r="U226" s="254" t="str">
        <f t="shared" si="35"/>
        <v/>
      </c>
      <c r="V226" s="308"/>
      <c r="W226" s="309" t="str" cm="1">
        <f t="array" ref="W226">_xlfn.IFS(AND(Q226="y",$D226="Local"), 1, AND(Q226="y",$D226&lt;&gt;"Local"),1.49009696454663%, Q226="","")</f>
        <v/>
      </c>
      <c r="X226" s="272" t="str" cm="1">
        <f t="array" ref="X226">_xlfn.IFS(AND(R226="y",$D226="Local"), 1, AND(R226="y",$D226&lt;&gt;"Local"),20.7557554582461%, R226="","")</f>
        <v/>
      </c>
      <c r="Y226" s="272" t="str" cm="1">
        <f t="array" ref="Y226">_xlfn.IFS(AND(S226="y",$D226="Local"), 1, AND(S226="y",$D226&lt;&gt;"Local"),30.3499104327336%, S226="","")</f>
        <v/>
      </c>
      <c r="Z226" s="272" cm="1">
        <f t="array" ref="Z226">_xlfn.IFS(AND(T226="y",$D226="Local"), 1, AND(T226="y",$D226&lt;&gt;"Local"),29.0043833288201%, T226="","")</f>
        <v>1</v>
      </c>
      <c r="AA226" s="272" t="str" cm="1">
        <f t="array" ref="AA226">_xlfn.IFS(AND(U226="y",$D226="Local"), 1, AND(U226="y",$D226&lt;&gt;"Local"),18.3998538156536%, U226="","")</f>
        <v/>
      </c>
      <c r="AB226" s="68">
        <f t="shared" si="37"/>
        <v>1</v>
      </c>
      <c r="AD226" s="306" t="str">
        <f t="shared" si="38"/>
        <v/>
      </c>
      <c r="AE226" s="242" t="str">
        <f t="shared" si="39"/>
        <v/>
      </c>
      <c r="AF226" s="242" t="str">
        <f t="shared" si="40"/>
        <v/>
      </c>
      <c r="AG226" s="242">
        <f t="shared" si="41"/>
        <v>100884.86</v>
      </c>
      <c r="AH226" s="352" t="str">
        <f t="shared" si="42"/>
        <v/>
      </c>
    </row>
    <row r="227" spans="2:34">
      <c r="B227" s="166" t="s">
        <v>355</v>
      </c>
      <c r="C227" s="150"/>
      <c r="D227" s="150" t="s">
        <v>116</v>
      </c>
      <c r="E227" s="150" t="s">
        <v>140</v>
      </c>
      <c r="F227" s="150" t="s">
        <v>778</v>
      </c>
      <c r="G227" s="146">
        <v>56000</v>
      </c>
      <c r="H227" s="155">
        <v>405</v>
      </c>
      <c r="I227" s="135">
        <f t="shared" si="43"/>
        <v>45</v>
      </c>
      <c r="J227" s="147">
        <v>74225</v>
      </c>
      <c r="K227" s="155">
        <v>406.31182377153601</v>
      </c>
      <c r="L227" s="88">
        <f t="shared" si="44"/>
        <v>137.55445136006242</v>
      </c>
      <c r="M227" s="160">
        <v>55890</v>
      </c>
      <c r="N227" s="167">
        <v>2016</v>
      </c>
      <c r="O227" s="167">
        <f>IFERROR(('General Input Sheet'!$G$38/(VLOOKUP(N227,'General Input Sheet'!$E$38:$G$44,3,FALSE))),1)</f>
        <v>1</v>
      </c>
      <c r="P227" s="189">
        <f t="shared" si="36"/>
        <v>130115</v>
      </c>
      <c r="Q227" s="89" t="str">
        <f t="shared" si="35"/>
        <v/>
      </c>
      <c r="R227" s="89" t="str">
        <f t="shared" si="35"/>
        <v>y</v>
      </c>
      <c r="S227" s="89" t="str">
        <f t="shared" si="35"/>
        <v/>
      </c>
      <c r="T227" s="89" t="str">
        <f t="shared" si="35"/>
        <v/>
      </c>
      <c r="U227" s="254" t="str">
        <f t="shared" si="35"/>
        <v/>
      </c>
      <c r="V227" s="308"/>
      <c r="W227" s="309" t="str" cm="1">
        <f t="array" ref="W227">_xlfn.IFS(AND(Q227="y",$D227="Local"), 1, AND(Q227="y",$D227&lt;&gt;"Local"),1.49009696454663%, Q227="","")</f>
        <v/>
      </c>
      <c r="X227" s="272" cm="1">
        <f t="array" ref="X227">_xlfn.IFS(AND(R227="y",$D227="Local"), 1, AND(R227="y",$D227&lt;&gt;"Local"),20.7557554582461%, R227="","")</f>
        <v>1</v>
      </c>
      <c r="Y227" s="272" t="str" cm="1">
        <f t="array" ref="Y227">_xlfn.IFS(AND(S227="y",$D227="Local"), 1, AND(S227="y",$D227&lt;&gt;"Local"),30.3499104327336%, S227="","")</f>
        <v/>
      </c>
      <c r="Z227" s="272" t="str" cm="1">
        <f t="array" ref="Z227">_xlfn.IFS(AND(T227="y",$D227="Local"), 1, AND(T227="y",$D227&lt;&gt;"Local"),29.0043833288201%, T227="","")</f>
        <v/>
      </c>
      <c r="AA227" s="272" t="str" cm="1">
        <f t="array" ref="AA227">_xlfn.IFS(AND(U227="y",$D227="Local"), 1, AND(U227="y",$D227&lt;&gt;"Local"),18.3998538156536%, U227="","")</f>
        <v/>
      </c>
      <c r="AB227" s="68">
        <f t="shared" si="37"/>
        <v>1</v>
      </c>
      <c r="AD227" s="306" t="str">
        <f t="shared" si="38"/>
        <v/>
      </c>
      <c r="AE227" s="242">
        <f t="shared" si="39"/>
        <v>130115</v>
      </c>
      <c r="AF227" s="242" t="str">
        <f t="shared" si="40"/>
        <v/>
      </c>
      <c r="AG227" s="242" t="str">
        <f t="shared" si="41"/>
        <v/>
      </c>
      <c r="AH227" s="352" t="str">
        <f t="shared" si="42"/>
        <v/>
      </c>
    </row>
    <row r="228" spans="2:34">
      <c r="B228" s="166" t="s">
        <v>356</v>
      </c>
      <c r="C228" s="150"/>
      <c r="D228" s="150" t="s">
        <v>116</v>
      </c>
      <c r="E228" s="150" t="s">
        <v>140</v>
      </c>
      <c r="F228" s="150" t="s">
        <v>779</v>
      </c>
      <c r="G228" s="146"/>
      <c r="H228" s="155"/>
      <c r="I228" s="135">
        <f t="shared" si="43"/>
        <v>0</v>
      </c>
      <c r="J228" s="147"/>
      <c r="K228" s="155">
        <v>595.78852267955199</v>
      </c>
      <c r="L228" s="88">
        <f t="shared" si="44"/>
        <v>522.92044599786425</v>
      </c>
      <c r="M228" s="160">
        <v>311550</v>
      </c>
      <c r="N228" s="167">
        <v>2016</v>
      </c>
      <c r="O228" s="167">
        <f>IFERROR(('General Input Sheet'!$G$38/(VLOOKUP(N228,'General Input Sheet'!$E$38:$G$44,3,FALSE))),1)</f>
        <v>1</v>
      </c>
      <c r="P228" s="189">
        <f t="shared" si="36"/>
        <v>311550</v>
      </c>
      <c r="Q228" s="89" t="str">
        <f t="shared" si="35"/>
        <v/>
      </c>
      <c r="R228" s="89" t="str">
        <f t="shared" si="35"/>
        <v>y</v>
      </c>
      <c r="S228" s="89" t="str">
        <f t="shared" si="35"/>
        <v/>
      </c>
      <c r="T228" s="89" t="str">
        <f t="shared" si="35"/>
        <v/>
      </c>
      <c r="U228" s="254" t="str">
        <f t="shared" si="35"/>
        <v/>
      </c>
      <c r="V228" s="308"/>
      <c r="W228" s="309" t="str" cm="1">
        <f t="array" ref="W228">_xlfn.IFS(AND(Q228="y",$D228="Local"), 1, AND(Q228="y",$D228&lt;&gt;"Local"),1.49009696454663%, Q228="","")</f>
        <v/>
      </c>
      <c r="X228" s="272" cm="1">
        <f t="array" ref="X228">_xlfn.IFS(AND(R228="y",$D228="Local"), 1, AND(R228="y",$D228&lt;&gt;"Local"),20.7557554582461%, R228="","")</f>
        <v>1</v>
      </c>
      <c r="Y228" s="272" t="str" cm="1">
        <f t="array" ref="Y228">_xlfn.IFS(AND(S228="y",$D228="Local"), 1, AND(S228="y",$D228&lt;&gt;"Local"),30.3499104327336%, S228="","")</f>
        <v/>
      </c>
      <c r="Z228" s="272" t="str" cm="1">
        <f t="array" ref="Z228">_xlfn.IFS(AND(T228="y",$D228="Local"), 1, AND(T228="y",$D228&lt;&gt;"Local"),29.0043833288201%, T228="","")</f>
        <v/>
      </c>
      <c r="AA228" s="272" t="str" cm="1">
        <f t="array" ref="AA228">_xlfn.IFS(AND(U228="y",$D228="Local"), 1, AND(U228="y",$D228&lt;&gt;"Local"),18.3998538156536%, U228="","")</f>
        <v/>
      </c>
      <c r="AB228" s="68">
        <f t="shared" si="37"/>
        <v>1</v>
      </c>
      <c r="AD228" s="306" t="str">
        <f t="shared" si="38"/>
        <v/>
      </c>
      <c r="AE228" s="242">
        <f t="shared" si="39"/>
        <v>311550</v>
      </c>
      <c r="AF228" s="242" t="str">
        <f t="shared" si="40"/>
        <v/>
      </c>
      <c r="AG228" s="242" t="str">
        <f t="shared" si="41"/>
        <v/>
      </c>
      <c r="AH228" s="352" t="str">
        <f t="shared" si="42"/>
        <v/>
      </c>
    </row>
    <row r="229" spans="2:34">
      <c r="B229" s="166" t="s">
        <v>357</v>
      </c>
      <c r="C229" s="150"/>
      <c r="D229" s="150" t="s">
        <v>118</v>
      </c>
      <c r="E229" s="150" t="s">
        <v>141</v>
      </c>
      <c r="F229" s="150" t="s">
        <v>780</v>
      </c>
      <c r="G229" s="146"/>
      <c r="H229" s="155"/>
      <c r="I229" s="135">
        <f t="shared" si="43"/>
        <v>0</v>
      </c>
      <c r="J229" s="147"/>
      <c r="K229" s="155">
        <v>512.29044098912095</v>
      </c>
      <c r="L229" s="88">
        <f t="shared" si="44"/>
        <v>554.85745439867833</v>
      </c>
      <c r="M229" s="160">
        <v>284248.17</v>
      </c>
      <c r="N229" s="167">
        <v>2016</v>
      </c>
      <c r="O229" s="167">
        <f>IFERROR(('General Input Sheet'!$G$38/(VLOOKUP(N229,'General Input Sheet'!$E$38:$G$44,3,FALSE))),1)</f>
        <v>1</v>
      </c>
      <c r="P229" s="189">
        <f t="shared" si="36"/>
        <v>284248.17</v>
      </c>
      <c r="Q229" s="89" t="str">
        <f t="shared" si="35"/>
        <v>y</v>
      </c>
      <c r="R229" s="89" t="str">
        <f t="shared" si="35"/>
        <v>y</v>
      </c>
      <c r="S229" s="89" t="str">
        <f t="shared" si="35"/>
        <v>y</v>
      </c>
      <c r="T229" s="89" t="str">
        <f t="shared" si="35"/>
        <v>y</v>
      </c>
      <c r="U229" s="254" t="str">
        <f t="shared" si="35"/>
        <v>y</v>
      </c>
      <c r="V229" s="308"/>
      <c r="W229" s="309" cm="1">
        <f t="array" ref="W229">_xlfn.IFS(AND(Q229="y",$D229="Local"), 1, AND(Q229="y",$D229&lt;&gt;"Local"),1.49009696454663%, Q229="","")</f>
        <v>1.49009696454663E-2</v>
      </c>
      <c r="X229" s="272" cm="1">
        <f t="array" ref="X229">_xlfn.IFS(AND(R229="y",$D229="Local"), 1, AND(R229="y",$D229&lt;&gt;"Local"),20.7557554582461%, R229="","")</f>
        <v>0.207557554582461</v>
      </c>
      <c r="Y229" s="272" cm="1">
        <f t="array" ref="Y229">_xlfn.IFS(AND(S229="y",$D229="Local"), 1, AND(S229="y",$D229&lt;&gt;"Local"),30.3499104327336%, S229="","")</f>
        <v>0.30349910432733601</v>
      </c>
      <c r="Z229" s="272" cm="1">
        <f t="array" ref="Z229">_xlfn.IFS(AND(T229="y",$D229="Local"), 1, AND(T229="y",$D229&lt;&gt;"Local"),29.0043833288201%, T229="","")</f>
        <v>0.29004383328820099</v>
      </c>
      <c r="AA229" s="272" cm="1">
        <f t="array" ref="AA229">_xlfn.IFS(AND(U229="y",$D229="Local"), 1, AND(U229="y",$D229&lt;&gt;"Local"),18.3998538156536%, U229="","")</f>
        <v>0.183998538156536</v>
      </c>
      <c r="AB229" s="68">
        <f t="shared" si="37"/>
        <v>1.0000000000000004</v>
      </c>
      <c r="AD229" s="306">
        <f t="shared" si="38"/>
        <v>4235.5733529493427</v>
      </c>
      <c r="AE229" s="242">
        <f t="shared" si="39"/>
        <v>58997.855059739624</v>
      </c>
      <c r="AF229" s="242">
        <f t="shared" si="40"/>
        <v>86269.065001684299</v>
      </c>
      <c r="AG229" s="242">
        <f t="shared" si="41"/>
        <v>82444.428831956175</v>
      </c>
      <c r="AH229" s="352">
        <f t="shared" si="42"/>
        <v>52301.247753670505</v>
      </c>
    </row>
    <row r="230" spans="2:34">
      <c r="B230" s="166" t="s">
        <v>358</v>
      </c>
      <c r="C230" s="150"/>
      <c r="D230" s="150" t="s">
        <v>118</v>
      </c>
      <c r="E230" s="150" t="s">
        <v>140</v>
      </c>
      <c r="F230" s="150" t="s">
        <v>781</v>
      </c>
      <c r="G230" s="146"/>
      <c r="H230" s="155"/>
      <c r="I230" s="135">
        <f t="shared" si="43"/>
        <v>0</v>
      </c>
      <c r="J230" s="147"/>
      <c r="K230" s="155">
        <v>122.64565764218899</v>
      </c>
      <c r="L230" s="88">
        <f t="shared" si="44"/>
        <v>2.4460711106073659E-3</v>
      </c>
      <c r="M230" s="160">
        <v>0.3</v>
      </c>
      <c r="N230" s="167">
        <v>2016</v>
      </c>
      <c r="O230" s="167">
        <f>IFERROR(('General Input Sheet'!$G$38/(VLOOKUP(N230,'General Input Sheet'!$E$38:$G$44,3,FALSE))),1)</f>
        <v>1</v>
      </c>
      <c r="P230" s="189">
        <f t="shared" si="36"/>
        <v>0.3</v>
      </c>
      <c r="Q230" s="89" t="str">
        <f t="shared" si="35"/>
        <v>y</v>
      </c>
      <c r="R230" s="89" t="str">
        <f t="shared" si="35"/>
        <v>y</v>
      </c>
      <c r="S230" s="89" t="str">
        <f t="shared" si="35"/>
        <v>y</v>
      </c>
      <c r="T230" s="89" t="str">
        <f t="shared" si="35"/>
        <v>y</v>
      </c>
      <c r="U230" s="254" t="str">
        <f t="shared" si="35"/>
        <v>y</v>
      </c>
      <c r="V230" s="308"/>
      <c r="W230" s="309" cm="1">
        <f t="array" ref="W230">_xlfn.IFS(AND(Q230="y",$D230="Local"), 1, AND(Q230="y",$D230&lt;&gt;"Local"),1.49009696454663%, Q230="","")</f>
        <v>1.49009696454663E-2</v>
      </c>
      <c r="X230" s="272" cm="1">
        <f t="array" ref="X230">_xlfn.IFS(AND(R230="y",$D230="Local"), 1, AND(R230="y",$D230&lt;&gt;"Local"),20.7557554582461%, R230="","")</f>
        <v>0.207557554582461</v>
      </c>
      <c r="Y230" s="272" cm="1">
        <f t="array" ref="Y230">_xlfn.IFS(AND(S230="y",$D230="Local"), 1, AND(S230="y",$D230&lt;&gt;"Local"),30.3499104327336%, S230="","")</f>
        <v>0.30349910432733601</v>
      </c>
      <c r="Z230" s="272" cm="1">
        <f t="array" ref="Z230">_xlfn.IFS(AND(T230="y",$D230="Local"), 1, AND(T230="y",$D230&lt;&gt;"Local"),29.0043833288201%, T230="","")</f>
        <v>0.29004383328820099</v>
      </c>
      <c r="AA230" s="272" cm="1">
        <f t="array" ref="AA230">_xlfn.IFS(AND(U230="y",$D230="Local"), 1, AND(U230="y",$D230&lt;&gt;"Local"),18.3998538156536%, U230="","")</f>
        <v>0.183998538156536</v>
      </c>
      <c r="AB230" s="68">
        <f t="shared" si="37"/>
        <v>1.0000000000000004</v>
      </c>
      <c r="AD230" s="306">
        <f t="shared" si="38"/>
        <v>4.4702908936398878E-3</v>
      </c>
      <c r="AE230" s="242">
        <f t="shared" si="39"/>
        <v>6.226726637473827E-2</v>
      </c>
      <c r="AF230" s="242">
        <f t="shared" si="40"/>
        <v>9.1049731298200764E-2</v>
      </c>
      <c r="AG230" s="242">
        <f t="shared" si="41"/>
        <v>8.7013149986460259E-2</v>
      </c>
      <c r="AH230" s="352">
        <f t="shared" si="42"/>
        <v>5.5199561446960775E-2</v>
      </c>
    </row>
    <row r="231" spans="2:34">
      <c r="B231" s="166" t="s">
        <v>359</v>
      </c>
      <c r="C231" s="150"/>
      <c r="D231" s="150" t="s">
        <v>116</v>
      </c>
      <c r="E231" s="150" t="s">
        <v>140</v>
      </c>
      <c r="F231" s="150" t="s">
        <v>782</v>
      </c>
      <c r="G231" s="146"/>
      <c r="H231" s="155"/>
      <c r="I231" s="135">
        <f t="shared" si="43"/>
        <v>0</v>
      </c>
      <c r="J231" s="147"/>
      <c r="K231" s="155">
        <v>595.70302308673195</v>
      </c>
      <c r="L231" s="88">
        <f t="shared" si="44"/>
        <v>522.99549931046693</v>
      </c>
      <c r="M231" s="160">
        <v>311550</v>
      </c>
      <c r="N231" s="167">
        <v>2016</v>
      </c>
      <c r="O231" s="167">
        <f>IFERROR(('General Input Sheet'!$G$38/(VLOOKUP(N231,'General Input Sheet'!$E$38:$G$44,3,FALSE))),1)</f>
        <v>1</v>
      </c>
      <c r="P231" s="189">
        <f t="shared" si="36"/>
        <v>311550</v>
      </c>
      <c r="Q231" s="89" t="str">
        <f t="shared" si="35"/>
        <v/>
      </c>
      <c r="R231" s="89" t="str">
        <f t="shared" si="35"/>
        <v>y</v>
      </c>
      <c r="S231" s="89" t="str">
        <f t="shared" si="35"/>
        <v/>
      </c>
      <c r="T231" s="89" t="str">
        <f t="shared" si="35"/>
        <v/>
      </c>
      <c r="U231" s="254" t="str">
        <f t="shared" si="35"/>
        <v/>
      </c>
      <c r="V231" s="308"/>
      <c r="W231" s="309" t="str" cm="1">
        <f t="array" ref="W231">_xlfn.IFS(AND(Q231="y",$D231="Local"), 1, AND(Q231="y",$D231&lt;&gt;"Local"),1.49009696454663%, Q231="","")</f>
        <v/>
      </c>
      <c r="X231" s="272" cm="1">
        <f t="array" ref="X231">_xlfn.IFS(AND(R231="y",$D231="Local"), 1, AND(R231="y",$D231&lt;&gt;"Local"),20.7557554582461%, R231="","")</f>
        <v>1</v>
      </c>
      <c r="Y231" s="272" t="str" cm="1">
        <f t="array" ref="Y231">_xlfn.IFS(AND(S231="y",$D231="Local"), 1, AND(S231="y",$D231&lt;&gt;"Local"),30.3499104327336%, S231="","")</f>
        <v/>
      </c>
      <c r="Z231" s="272" t="str" cm="1">
        <f t="array" ref="Z231">_xlfn.IFS(AND(T231="y",$D231="Local"), 1, AND(T231="y",$D231&lt;&gt;"Local"),29.0043833288201%, T231="","")</f>
        <v/>
      </c>
      <c r="AA231" s="272" t="str" cm="1">
        <f t="array" ref="AA231">_xlfn.IFS(AND(U231="y",$D231="Local"), 1, AND(U231="y",$D231&lt;&gt;"Local"),18.3998538156536%, U231="","")</f>
        <v/>
      </c>
      <c r="AB231" s="68">
        <f t="shared" si="37"/>
        <v>1</v>
      </c>
      <c r="AD231" s="306" t="str">
        <f t="shared" si="38"/>
        <v/>
      </c>
      <c r="AE231" s="242">
        <f t="shared" si="39"/>
        <v>311550</v>
      </c>
      <c r="AF231" s="242" t="str">
        <f t="shared" si="40"/>
        <v/>
      </c>
      <c r="AG231" s="242" t="str">
        <f t="shared" si="41"/>
        <v/>
      </c>
      <c r="AH231" s="352" t="str">
        <f t="shared" si="42"/>
        <v/>
      </c>
    </row>
    <row r="232" spans="2:34">
      <c r="B232" s="166" t="s">
        <v>360</v>
      </c>
      <c r="C232" s="150"/>
      <c r="D232" s="150" t="s">
        <v>118</v>
      </c>
      <c r="E232" s="150" t="s">
        <v>141</v>
      </c>
      <c r="F232" s="150" t="s">
        <v>783</v>
      </c>
      <c r="G232" s="146"/>
      <c r="H232" s="155"/>
      <c r="I232" s="135">
        <f t="shared" si="43"/>
        <v>0</v>
      </c>
      <c r="J232" s="147"/>
      <c r="K232" s="155">
        <v>509.42406287359898</v>
      </c>
      <c r="L232" s="88">
        <f t="shared" si="44"/>
        <v>557.9794727335626</v>
      </c>
      <c r="M232" s="160">
        <v>284248.17</v>
      </c>
      <c r="N232" s="167">
        <v>2016</v>
      </c>
      <c r="O232" s="167">
        <f>IFERROR(('General Input Sheet'!$G$38/(VLOOKUP(N232,'General Input Sheet'!$E$38:$G$44,3,FALSE))),1)</f>
        <v>1</v>
      </c>
      <c r="P232" s="189">
        <f t="shared" si="36"/>
        <v>284248.17</v>
      </c>
      <c r="Q232" s="89" t="str">
        <f t="shared" si="35"/>
        <v>y</v>
      </c>
      <c r="R232" s="89" t="str">
        <f t="shared" si="35"/>
        <v>y</v>
      </c>
      <c r="S232" s="89" t="str">
        <f t="shared" si="35"/>
        <v>y</v>
      </c>
      <c r="T232" s="89" t="str">
        <f t="shared" si="35"/>
        <v>y</v>
      </c>
      <c r="U232" s="254" t="str">
        <f t="shared" si="35"/>
        <v>y</v>
      </c>
      <c r="V232" s="308"/>
      <c r="W232" s="309" cm="1">
        <f t="array" ref="W232">_xlfn.IFS(AND(Q232="y",$D232="Local"), 1, AND(Q232="y",$D232&lt;&gt;"Local"),1.49009696454663%, Q232="","")</f>
        <v>1.49009696454663E-2</v>
      </c>
      <c r="X232" s="272" cm="1">
        <f t="array" ref="X232">_xlfn.IFS(AND(R232="y",$D232="Local"), 1, AND(R232="y",$D232&lt;&gt;"Local"),20.7557554582461%, R232="","")</f>
        <v>0.207557554582461</v>
      </c>
      <c r="Y232" s="272" cm="1">
        <f t="array" ref="Y232">_xlfn.IFS(AND(S232="y",$D232="Local"), 1, AND(S232="y",$D232&lt;&gt;"Local"),30.3499104327336%, S232="","")</f>
        <v>0.30349910432733601</v>
      </c>
      <c r="Z232" s="272" cm="1">
        <f t="array" ref="Z232">_xlfn.IFS(AND(T232="y",$D232="Local"), 1, AND(T232="y",$D232&lt;&gt;"Local"),29.0043833288201%, T232="","")</f>
        <v>0.29004383328820099</v>
      </c>
      <c r="AA232" s="272" cm="1">
        <f t="array" ref="AA232">_xlfn.IFS(AND(U232="y",$D232="Local"), 1, AND(U232="y",$D232&lt;&gt;"Local"),18.3998538156536%, U232="","")</f>
        <v>0.183998538156536</v>
      </c>
      <c r="AB232" s="68">
        <f t="shared" si="37"/>
        <v>1.0000000000000004</v>
      </c>
      <c r="AD232" s="306">
        <f t="shared" si="38"/>
        <v>4235.5733529493427</v>
      </c>
      <c r="AE232" s="242">
        <f t="shared" si="39"/>
        <v>58997.855059739624</v>
      </c>
      <c r="AF232" s="242">
        <f t="shared" si="40"/>
        <v>86269.065001684299</v>
      </c>
      <c r="AG232" s="242">
        <f t="shared" si="41"/>
        <v>82444.428831956175</v>
      </c>
      <c r="AH232" s="352">
        <f t="shared" si="42"/>
        <v>52301.247753670505</v>
      </c>
    </row>
    <row r="233" spans="2:34">
      <c r="B233" s="166" t="s">
        <v>361</v>
      </c>
      <c r="C233" s="150"/>
      <c r="D233" s="150" t="s">
        <v>116</v>
      </c>
      <c r="E233" s="150" t="s">
        <v>143</v>
      </c>
      <c r="F233" s="150" t="s">
        <v>784</v>
      </c>
      <c r="G233" s="146"/>
      <c r="H233" s="155"/>
      <c r="I233" s="135">
        <f t="shared" si="43"/>
        <v>0</v>
      </c>
      <c r="J233" s="147"/>
      <c r="K233" s="155">
        <v>2701.7727990992598</v>
      </c>
      <c r="L233" s="88">
        <f t="shared" si="44"/>
        <v>118.60396259331331</v>
      </c>
      <c r="M233" s="160">
        <v>320440.96000000002</v>
      </c>
      <c r="N233" s="167">
        <v>2016</v>
      </c>
      <c r="O233" s="167">
        <f>IFERROR(('General Input Sheet'!$G$38/(VLOOKUP(N233,'General Input Sheet'!$E$38:$G$44,3,FALSE))),1)</f>
        <v>1</v>
      </c>
      <c r="P233" s="189">
        <f t="shared" si="36"/>
        <v>320440.96000000002</v>
      </c>
      <c r="Q233" s="89" t="str">
        <f t="shared" si="35"/>
        <v/>
      </c>
      <c r="R233" s="89" t="str">
        <f t="shared" si="35"/>
        <v/>
      </c>
      <c r="S233" s="89" t="str">
        <f t="shared" si="35"/>
        <v/>
      </c>
      <c r="T233" s="89" t="str">
        <f t="shared" si="35"/>
        <v/>
      </c>
      <c r="U233" s="254" t="str">
        <f t="shared" si="35"/>
        <v>y</v>
      </c>
      <c r="V233" s="308"/>
      <c r="W233" s="309" t="str" cm="1">
        <f t="array" ref="W233">_xlfn.IFS(AND(Q233="y",$D233="Local"), 1, AND(Q233="y",$D233&lt;&gt;"Local"),1.49009696454663%, Q233="","")</f>
        <v/>
      </c>
      <c r="X233" s="272" t="str" cm="1">
        <f t="array" ref="X233">_xlfn.IFS(AND(R233="y",$D233="Local"), 1, AND(R233="y",$D233&lt;&gt;"Local"),20.7557554582461%, R233="","")</f>
        <v/>
      </c>
      <c r="Y233" s="272" t="str" cm="1">
        <f t="array" ref="Y233">_xlfn.IFS(AND(S233="y",$D233="Local"), 1, AND(S233="y",$D233&lt;&gt;"Local"),30.3499104327336%, S233="","")</f>
        <v/>
      </c>
      <c r="Z233" s="272" t="str" cm="1">
        <f t="array" ref="Z233">_xlfn.IFS(AND(T233="y",$D233="Local"), 1, AND(T233="y",$D233&lt;&gt;"Local"),29.0043833288201%, T233="","")</f>
        <v/>
      </c>
      <c r="AA233" s="272" cm="1">
        <f t="array" ref="AA233">_xlfn.IFS(AND(U233="y",$D233="Local"), 1, AND(U233="y",$D233&lt;&gt;"Local"),18.3998538156536%, U233="","")</f>
        <v>1</v>
      </c>
      <c r="AB233" s="68">
        <f t="shared" si="37"/>
        <v>1</v>
      </c>
      <c r="AD233" s="306" t="str">
        <f t="shared" si="38"/>
        <v/>
      </c>
      <c r="AE233" s="242" t="str">
        <f t="shared" si="39"/>
        <v/>
      </c>
      <c r="AF233" s="242" t="str">
        <f t="shared" si="40"/>
        <v/>
      </c>
      <c r="AG233" s="242" t="str">
        <f t="shared" si="41"/>
        <v/>
      </c>
      <c r="AH233" s="352">
        <f t="shared" si="42"/>
        <v>320440.96000000002</v>
      </c>
    </row>
    <row r="234" spans="2:34">
      <c r="B234" s="166" t="s">
        <v>362</v>
      </c>
      <c r="C234" s="150"/>
      <c r="D234" s="150" t="s">
        <v>118</v>
      </c>
      <c r="E234" s="150" t="s">
        <v>140</v>
      </c>
      <c r="F234" s="150" t="s">
        <v>785</v>
      </c>
      <c r="G234" s="146"/>
      <c r="H234" s="155"/>
      <c r="I234" s="135">
        <f t="shared" si="43"/>
        <v>0</v>
      </c>
      <c r="J234" s="147"/>
      <c r="K234" s="155">
        <v>314.12682088339398</v>
      </c>
      <c r="L234" s="88">
        <f t="shared" si="44"/>
        <v>2.4194049965638471E-3</v>
      </c>
      <c r="M234" s="160">
        <v>0.76</v>
      </c>
      <c r="N234" s="167">
        <v>2016</v>
      </c>
      <c r="O234" s="167">
        <f>IFERROR(('General Input Sheet'!$G$38/(VLOOKUP(N234,'General Input Sheet'!$E$38:$G$44,3,FALSE))),1)</f>
        <v>1</v>
      </c>
      <c r="P234" s="189">
        <f t="shared" si="36"/>
        <v>0.76</v>
      </c>
      <c r="Q234" s="89" t="str">
        <f t="shared" ref="Q234:U284" si="45">IF(OR(Q$9=$E234,$D234="Metropolitan",$D234="District"),"y","")</f>
        <v>y</v>
      </c>
      <c r="R234" s="89" t="str">
        <f t="shared" si="45"/>
        <v>y</v>
      </c>
      <c r="S234" s="89" t="str">
        <f t="shared" si="45"/>
        <v>y</v>
      </c>
      <c r="T234" s="89" t="str">
        <f t="shared" si="45"/>
        <v>y</v>
      </c>
      <c r="U234" s="254" t="str">
        <f t="shared" si="45"/>
        <v>y</v>
      </c>
      <c r="V234" s="308"/>
      <c r="W234" s="309" cm="1">
        <f t="array" ref="W234">_xlfn.IFS(AND(Q234="y",$D234="Local"), 1, AND(Q234="y",$D234&lt;&gt;"Local"),1.49009696454663%, Q234="","")</f>
        <v>1.49009696454663E-2</v>
      </c>
      <c r="X234" s="272" cm="1">
        <f t="array" ref="X234">_xlfn.IFS(AND(R234="y",$D234="Local"), 1, AND(R234="y",$D234&lt;&gt;"Local"),20.7557554582461%, R234="","")</f>
        <v>0.207557554582461</v>
      </c>
      <c r="Y234" s="272" cm="1">
        <f t="array" ref="Y234">_xlfn.IFS(AND(S234="y",$D234="Local"), 1, AND(S234="y",$D234&lt;&gt;"Local"),30.3499104327336%, S234="","")</f>
        <v>0.30349910432733601</v>
      </c>
      <c r="Z234" s="272" cm="1">
        <f t="array" ref="Z234">_xlfn.IFS(AND(T234="y",$D234="Local"), 1, AND(T234="y",$D234&lt;&gt;"Local"),29.0043833288201%, T234="","")</f>
        <v>0.29004383328820099</v>
      </c>
      <c r="AA234" s="272" cm="1">
        <f t="array" ref="AA234">_xlfn.IFS(AND(U234="y",$D234="Local"), 1, AND(U234="y",$D234&lt;&gt;"Local"),18.3998538156536%, U234="","")</f>
        <v>0.183998538156536</v>
      </c>
      <c r="AB234" s="68">
        <f t="shared" si="37"/>
        <v>1.0000000000000004</v>
      </c>
      <c r="AD234" s="306">
        <f t="shared" si="38"/>
        <v>1.1324736930554384E-2</v>
      </c>
      <c r="AE234" s="242">
        <f t="shared" si="39"/>
        <v>0.15774374148267031</v>
      </c>
      <c r="AF234" s="242">
        <f t="shared" si="40"/>
        <v>0.23065931928877528</v>
      </c>
      <c r="AG234" s="242">
        <f t="shared" si="41"/>
        <v>0.22043331329903268</v>
      </c>
      <c r="AH234" s="352">
        <f t="shared" si="42"/>
        <v>0.13983888899896729</v>
      </c>
    </row>
    <row r="235" spans="2:34">
      <c r="B235" s="166" t="s">
        <v>363</v>
      </c>
      <c r="C235" s="150"/>
      <c r="D235" s="150" t="s">
        <v>116</v>
      </c>
      <c r="E235" s="150" t="s">
        <v>140</v>
      </c>
      <c r="F235" s="150" t="s">
        <v>786</v>
      </c>
      <c r="G235" s="146"/>
      <c r="H235" s="155"/>
      <c r="I235" s="135">
        <f t="shared" si="43"/>
        <v>0</v>
      </c>
      <c r="J235" s="147"/>
      <c r="K235" s="155">
        <v>595.71105373354101</v>
      </c>
      <c r="L235" s="88">
        <f t="shared" si="44"/>
        <v>522.98844892570173</v>
      </c>
      <c r="M235" s="160">
        <v>311550</v>
      </c>
      <c r="N235" s="167">
        <v>2016</v>
      </c>
      <c r="O235" s="167">
        <f>IFERROR(('General Input Sheet'!$G$38/(VLOOKUP(N235,'General Input Sheet'!$E$38:$G$44,3,FALSE))),1)</f>
        <v>1</v>
      </c>
      <c r="P235" s="189">
        <f t="shared" si="36"/>
        <v>311550</v>
      </c>
      <c r="Q235" s="89" t="str">
        <f t="shared" si="45"/>
        <v/>
      </c>
      <c r="R235" s="89" t="str">
        <f t="shared" si="45"/>
        <v>y</v>
      </c>
      <c r="S235" s="89" t="str">
        <f t="shared" si="45"/>
        <v/>
      </c>
      <c r="T235" s="89" t="str">
        <f t="shared" si="45"/>
        <v/>
      </c>
      <c r="U235" s="254" t="str">
        <f t="shared" si="45"/>
        <v/>
      </c>
      <c r="V235" s="308"/>
      <c r="W235" s="309" t="str" cm="1">
        <f t="array" ref="W235">_xlfn.IFS(AND(Q235="y",$D235="Local"), 1, AND(Q235="y",$D235&lt;&gt;"Local"),1.49009696454663%, Q235="","")</f>
        <v/>
      </c>
      <c r="X235" s="272" cm="1">
        <f t="array" ref="X235">_xlfn.IFS(AND(R235="y",$D235="Local"), 1, AND(R235="y",$D235&lt;&gt;"Local"),20.7557554582461%, R235="","")</f>
        <v>1</v>
      </c>
      <c r="Y235" s="272" t="str" cm="1">
        <f t="array" ref="Y235">_xlfn.IFS(AND(S235="y",$D235="Local"), 1, AND(S235="y",$D235&lt;&gt;"Local"),30.3499104327336%, S235="","")</f>
        <v/>
      </c>
      <c r="Z235" s="272" t="str" cm="1">
        <f t="array" ref="Z235">_xlfn.IFS(AND(T235="y",$D235="Local"), 1, AND(T235="y",$D235&lt;&gt;"Local"),29.0043833288201%, T235="","")</f>
        <v/>
      </c>
      <c r="AA235" s="272" t="str" cm="1">
        <f t="array" ref="AA235">_xlfn.IFS(AND(U235="y",$D235="Local"), 1, AND(U235="y",$D235&lt;&gt;"Local"),18.3998538156536%, U235="","")</f>
        <v/>
      </c>
      <c r="AB235" s="68">
        <f t="shared" si="37"/>
        <v>1</v>
      </c>
      <c r="AD235" s="306" t="str">
        <f t="shared" si="38"/>
        <v/>
      </c>
      <c r="AE235" s="242">
        <f t="shared" si="39"/>
        <v>311550</v>
      </c>
      <c r="AF235" s="242" t="str">
        <f t="shared" si="40"/>
        <v/>
      </c>
      <c r="AG235" s="242" t="str">
        <f t="shared" si="41"/>
        <v/>
      </c>
      <c r="AH235" s="352" t="str">
        <f t="shared" si="42"/>
        <v/>
      </c>
    </row>
    <row r="236" spans="2:34">
      <c r="B236" s="166" t="s">
        <v>364</v>
      </c>
      <c r="C236" s="150"/>
      <c r="D236" s="150" t="s">
        <v>118</v>
      </c>
      <c r="E236" s="150" t="s">
        <v>141</v>
      </c>
      <c r="F236" s="150" t="s">
        <v>787</v>
      </c>
      <c r="G236" s="146"/>
      <c r="H236" s="155"/>
      <c r="I236" s="135">
        <f t="shared" si="43"/>
        <v>0</v>
      </c>
      <c r="J236" s="147"/>
      <c r="K236" s="155">
        <v>506.403437149642</v>
      </c>
      <c r="L236" s="88">
        <f t="shared" si="44"/>
        <v>561.30774230113445</v>
      </c>
      <c r="M236" s="160">
        <v>284248.17</v>
      </c>
      <c r="N236" s="167">
        <v>2016</v>
      </c>
      <c r="O236" s="167">
        <f>IFERROR(('General Input Sheet'!$G$38/(VLOOKUP(N236,'General Input Sheet'!$E$38:$G$44,3,FALSE))),1)</f>
        <v>1</v>
      </c>
      <c r="P236" s="189">
        <f t="shared" si="36"/>
        <v>284248.17</v>
      </c>
      <c r="Q236" s="89" t="str">
        <f t="shared" si="45"/>
        <v>y</v>
      </c>
      <c r="R236" s="89" t="str">
        <f t="shared" si="45"/>
        <v>y</v>
      </c>
      <c r="S236" s="89" t="str">
        <f t="shared" si="45"/>
        <v>y</v>
      </c>
      <c r="T236" s="89" t="str">
        <f t="shared" si="45"/>
        <v>y</v>
      </c>
      <c r="U236" s="254" t="str">
        <f t="shared" si="45"/>
        <v>y</v>
      </c>
      <c r="V236" s="308"/>
      <c r="W236" s="309" cm="1">
        <f t="array" ref="W236">_xlfn.IFS(AND(Q236="y",$D236="Local"), 1, AND(Q236="y",$D236&lt;&gt;"Local"),1.49009696454663%, Q236="","")</f>
        <v>1.49009696454663E-2</v>
      </c>
      <c r="X236" s="272" cm="1">
        <f t="array" ref="X236">_xlfn.IFS(AND(R236="y",$D236="Local"), 1, AND(R236="y",$D236&lt;&gt;"Local"),20.7557554582461%, R236="","")</f>
        <v>0.207557554582461</v>
      </c>
      <c r="Y236" s="272" cm="1">
        <f t="array" ref="Y236">_xlfn.IFS(AND(S236="y",$D236="Local"), 1, AND(S236="y",$D236&lt;&gt;"Local"),30.3499104327336%, S236="","")</f>
        <v>0.30349910432733601</v>
      </c>
      <c r="Z236" s="272" cm="1">
        <f t="array" ref="Z236">_xlfn.IFS(AND(T236="y",$D236="Local"), 1, AND(T236="y",$D236&lt;&gt;"Local"),29.0043833288201%, T236="","")</f>
        <v>0.29004383328820099</v>
      </c>
      <c r="AA236" s="272" cm="1">
        <f t="array" ref="AA236">_xlfn.IFS(AND(U236="y",$D236="Local"), 1, AND(U236="y",$D236&lt;&gt;"Local"),18.3998538156536%, U236="","")</f>
        <v>0.183998538156536</v>
      </c>
      <c r="AB236" s="68">
        <f t="shared" si="37"/>
        <v>1.0000000000000004</v>
      </c>
      <c r="AD236" s="306">
        <f t="shared" si="38"/>
        <v>4235.5733529493427</v>
      </c>
      <c r="AE236" s="242">
        <f t="shared" si="39"/>
        <v>58997.855059739624</v>
      </c>
      <c r="AF236" s="242">
        <f t="shared" si="40"/>
        <v>86269.065001684299</v>
      </c>
      <c r="AG236" s="242">
        <f t="shared" si="41"/>
        <v>82444.428831956175</v>
      </c>
      <c r="AH236" s="352">
        <f t="shared" si="42"/>
        <v>52301.247753670505</v>
      </c>
    </row>
    <row r="237" spans="2:34">
      <c r="B237" s="166" t="s">
        <v>365</v>
      </c>
      <c r="C237" s="150"/>
      <c r="D237" s="150" t="s">
        <v>116</v>
      </c>
      <c r="E237" s="150" t="s">
        <v>143</v>
      </c>
      <c r="F237" s="150" t="s">
        <v>788</v>
      </c>
      <c r="G237" s="146">
        <v>56000</v>
      </c>
      <c r="H237" s="155">
        <v>562</v>
      </c>
      <c r="I237" s="135">
        <f t="shared" si="43"/>
        <v>45</v>
      </c>
      <c r="J237" s="147">
        <v>81290</v>
      </c>
      <c r="K237" s="155">
        <v>467.45795613578298</v>
      </c>
      <c r="L237" s="88">
        <f t="shared" si="44"/>
        <v>325.33629603220373</v>
      </c>
      <c r="M237" s="160">
        <v>152081.04</v>
      </c>
      <c r="N237" s="167">
        <v>2016</v>
      </c>
      <c r="O237" s="167">
        <f>IFERROR(('General Input Sheet'!$G$38/(VLOOKUP(N237,'General Input Sheet'!$E$38:$G$44,3,FALSE))),1)</f>
        <v>1</v>
      </c>
      <c r="P237" s="189">
        <f t="shared" si="36"/>
        <v>233371.04</v>
      </c>
      <c r="Q237" s="89" t="str">
        <f t="shared" si="45"/>
        <v/>
      </c>
      <c r="R237" s="89" t="str">
        <f t="shared" si="45"/>
        <v/>
      </c>
      <c r="S237" s="89" t="str">
        <f t="shared" si="45"/>
        <v/>
      </c>
      <c r="T237" s="89" t="str">
        <f t="shared" si="45"/>
        <v/>
      </c>
      <c r="U237" s="254" t="str">
        <f t="shared" si="45"/>
        <v>y</v>
      </c>
      <c r="V237" s="308"/>
      <c r="W237" s="309" t="str" cm="1">
        <f t="array" ref="W237">_xlfn.IFS(AND(Q237="y",$D237="Local"), 1, AND(Q237="y",$D237&lt;&gt;"Local"),1.49009696454663%, Q237="","")</f>
        <v/>
      </c>
      <c r="X237" s="272" t="str" cm="1">
        <f t="array" ref="X237">_xlfn.IFS(AND(R237="y",$D237="Local"), 1, AND(R237="y",$D237&lt;&gt;"Local"),20.7557554582461%, R237="","")</f>
        <v/>
      </c>
      <c r="Y237" s="272" t="str" cm="1">
        <f t="array" ref="Y237">_xlfn.IFS(AND(S237="y",$D237="Local"), 1, AND(S237="y",$D237&lt;&gt;"Local"),30.3499104327336%, S237="","")</f>
        <v/>
      </c>
      <c r="Z237" s="272" t="str" cm="1">
        <f t="array" ref="Z237">_xlfn.IFS(AND(T237="y",$D237="Local"), 1, AND(T237="y",$D237&lt;&gt;"Local"),29.0043833288201%, T237="","")</f>
        <v/>
      </c>
      <c r="AA237" s="272" cm="1">
        <f t="array" ref="AA237">_xlfn.IFS(AND(U237="y",$D237="Local"), 1, AND(U237="y",$D237&lt;&gt;"Local"),18.3998538156536%, U237="","")</f>
        <v>1</v>
      </c>
      <c r="AB237" s="68">
        <f t="shared" si="37"/>
        <v>1</v>
      </c>
      <c r="AD237" s="306" t="str">
        <f t="shared" si="38"/>
        <v/>
      </c>
      <c r="AE237" s="242" t="str">
        <f t="shared" si="39"/>
        <v/>
      </c>
      <c r="AF237" s="242" t="str">
        <f t="shared" si="40"/>
        <v/>
      </c>
      <c r="AG237" s="242" t="str">
        <f t="shared" si="41"/>
        <v/>
      </c>
      <c r="AH237" s="352">
        <f t="shared" si="42"/>
        <v>233371.04</v>
      </c>
    </row>
    <row r="238" spans="2:34">
      <c r="B238" s="166" t="s">
        <v>366</v>
      </c>
      <c r="C238" s="150"/>
      <c r="D238" s="150" t="s">
        <v>118</v>
      </c>
      <c r="E238" s="150" t="s">
        <v>142</v>
      </c>
      <c r="F238" s="150" t="s">
        <v>789</v>
      </c>
      <c r="G238" s="146"/>
      <c r="H238" s="155"/>
      <c r="I238" s="135">
        <f t="shared" si="43"/>
        <v>0</v>
      </c>
      <c r="J238" s="147"/>
      <c r="K238" s="155">
        <v>1055.17403726103</v>
      </c>
      <c r="L238" s="88">
        <f t="shared" si="44"/>
        <v>83.84515433079585</v>
      </c>
      <c r="M238" s="160">
        <v>88471.23</v>
      </c>
      <c r="N238" s="167">
        <v>2016</v>
      </c>
      <c r="O238" s="167">
        <f>IFERROR(('General Input Sheet'!$G$38/(VLOOKUP(N238,'General Input Sheet'!$E$38:$G$44,3,FALSE))),1)</f>
        <v>1</v>
      </c>
      <c r="P238" s="189">
        <f t="shared" si="36"/>
        <v>88471.23</v>
      </c>
      <c r="Q238" s="89" t="str">
        <f t="shared" si="45"/>
        <v>y</v>
      </c>
      <c r="R238" s="89" t="str">
        <f t="shared" si="45"/>
        <v>y</v>
      </c>
      <c r="S238" s="89" t="str">
        <f t="shared" si="45"/>
        <v>y</v>
      </c>
      <c r="T238" s="89" t="str">
        <f t="shared" si="45"/>
        <v>y</v>
      </c>
      <c r="U238" s="254" t="str">
        <f t="shared" si="45"/>
        <v>y</v>
      </c>
      <c r="V238" s="308"/>
      <c r="W238" s="309" cm="1">
        <f t="array" ref="W238">_xlfn.IFS(AND(Q238="y",$D238="Local"), 1, AND(Q238="y",$D238&lt;&gt;"Local"),1.49009696454663%, Q238="","")</f>
        <v>1.49009696454663E-2</v>
      </c>
      <c r="X238" s="272" cm="1">
        <f t="array" ref="X238">_xlfn.IFS(AND(R238="y",$D238="Local"), 1, AND(R238="y",$D238&lt;&gt;"Local"),20.7557554582461%, R238="","")</f>
        <v>0.207557554582461</v>
      </c>
      <c r="Y238" s="272" cm="1">
        <f t="array" ref="Y238">_xlfn.IFS(AND(S238="y",$D238="Local"), 1, AND(S238="y",$D238&lt;&gt;"Local"),30.3499104327336%, S238="","")</f>
        <v>0.30349910432733601</v>
      </c>
      <c r="Z238" s="272" cm="1">
        <f t="array" ref="Z238">_xlfn.IFS(AND(T238="y",$D238="Local"), 1, AND(T238="y",$D238&lt;&gt;"Local"),29.0043833288201%, T238="","")</f>
        <v>0.29004383328820099</v>
      </c>
      <c r="AA238" s="272" cm="1">
        <f t="array" ref="AA238">_xlfn.IFS(AND(U238="y",$D238="Local"), 1, AND(U238="y",$D238&lt;&gt;"Local"),18.3998538156536%, U238="","")</f>
        <v>0.183998538156536</v>
      </c>
      <c r="AB238" s="68">
        <f t="shared" si="37"/>
        <v>1.0000000000000004</v>
      </c>
      <c r="AD238" s="306">
        <f t="shared" si="38"/>
        <v>1318.3071127270669</v>
      </c>
      <c r="AE238" s="242">
        <f t="shared" si="39"/>
        <v>18362.872149702453</v>
      </c>
      <c r="AF238" s="242">
        <f t="shared" si="40"/>
        <v>26850.939063737729</v>
      </c>
      <c r="AG238" s="242">
        <f t="shared" si="41"/>
        <v>25660.534684922077</v>
      </c>
      <c r="AH238" s="352">
        <f t="shared" si="42"/>
        <v>16278.576988910663</v>
      </c>
    </row>
    <row r="239" spans="2:34">
      <c r="B239" s="166" t="s">
        <v>367</v>
      </c>
      <c r="C239" s="150"/>
      <c r="D239" s="150" t="s">
        <v>116</v>
      </c>
      <c r="E239" s="150" t="s">
        <v>143</v>
      </c>
      <c r="F239" s="150" t="s">
        <v>790</v>
      </c>
      <c r="G239" s="146"/>
      <c r="H239" s="155"/>
      <c r="I239" s="135">
        <f t="shared" si="43"/>
        <v>0</v>
      </c>
      <c r="J239" s="147"/>
      <c r="K239" s="155">
        <v>611.60970854090294</v>
      </c>
      <c r="L239" s="88">
        <f t="shared" si="44"/>
        <v>410.80119640252082</v>
      </c>
      <c r="M239" s="160">
        <v>251250</v>
      </c>
      <c r="N239" s="167">
        <v>2016</v>
      </c>
      <c r="O239" s="167">
        <f>IFERROR(('General Input Sheet'!$G$38/(VLOOKUP(N239,'General Input Sheet'!$E$38:$G$44,3,FALSE))),1)</f>
        <v>1</v>
      </c>
      <c r="P239" s="189">
        <f t="shared" si="36"/>
        <v>251250</v>
      </c>
      <c r="Q239" s="89" t="str">
        <f t="shared" si="45"/>
        <v/>
      </c>
      <c r="R239" s="89" t="str">
        <f t="shared" si="45"/>
        <v/>
      </c>
      <c r="S239" s="89" t="str">
        <f t="shared" si="45"/>
        <v/>
      </c>
      <c r="T239" s="89" t="str">
        <f t="shared" si="45"/>
        <v/>
      </c>
      <c r="U239" s="254" t="str">
        <f t="shared" si="45"/>
        <v>y</v>
      </c>
      <c r="V239" s="308"/>
      <c r="W239" s="309" t="str" cm="1">
        <f t="array" ref="W239">_xlfn.IFS(AND(Q239="y",$D239="Local"), 1, AND(Q239="y",$D239&lt;&gt;"Local"),1.49009696454663%, Q239="","")</f>
        <v/>
      </c>
      <c r="X239" s="272" t="str" cm="1">
        <f t="array" ref="X239">_xlfn.IFS(AND(R239="y",$D239="Local"), 1, AND(R239="y",$D239&lt;&gt;"Local"),20.7557554582461%, R239="","")</f>
        <v/>
      </c>
      <c r="Y239" s="272" t="str" cm="1">
        <f t="array" ref="Y239">_xlfn.IFS(AND(S239="y",$D239="Local"), 1, AND(S239="y",$D239&lt;&gt;"Local"),30.3499104327336%, S239="","")</f>
        <v/>
      </c>
      <c r="Z239" s="272" t="str" cm="1">
        <f t="array" ref="Z239">_xlfn.IFS(AND(T239="y",$D239="Local"), 1, AND(T239="y",$D239&lt;&gt;"Local"),29.0043833288201%, T239="","")</f>
        <v/>
      </c>
      <c r="AA239" s="272" cm="1">
        <f t="array" ref="AA239">_xlfn.IFS(AND(U239="y",$D239="Local"), 1, AND(U239="y",$D239&lt;&gt;"Local"),18.3998538156536%, U239="","")</f>
        <v>1</v>
      </c>
      <c r="AB239" s="68">
        <f t="shared" si="37"/>
        <v>1</v>
      </c>
      <c r="AD239" s="306" t="str">
        <f t="shared" si="38"/>
        <v/>
      </c>
      <c r="AE239" s="242" t="str">
        <f t="shared" si="39"/>
        <v/>
      </c>
      <c r="AF239" s="242" t="str">
        <f t="shared" si="40"/>
        <v/>
      </c>
      <c r="AG239" s="242" t="str">
        <f t="shared" si="41"/>
        <v/>
      </c>
      <c r="AH239" s="352">
        <f t="shared" si="42"/>
        <v>251250</v>
      </c>
    </row>
    <row r="240" spans="2:34">
      <c r="B240" s="166" t="s">
        <v>368</v>
      </c>
      <c r="C240" s="150"/>
      <c r="D240" s="150" t="s">
        <v>116</v>
      </c>
      <c r="E240" s="150" t="s">
        <v>139</v>
      </c>
      <c r="F240" s="150" t="s">
        <v>791</v>
      </c>
      <c r="G240" s="146">
        <v>56000</v>
      </c>
      <c r="H240" s="155">
        <v>1022</v>
      </c>
      <c r="I240" s="135">
        <f t="shared" si="43"/>
        <v>45</v>
      </c>
      <c r="J240" s="147">
        <v>101990</v>
      </c>
      <c r="K240" s="155">
        <v>4277.4046366397797</v>
      </c>
      <c r="L240" s="88">
        <f t="shared" si="44"/>
        <v>1.8531190460921387</v>
      </c>
      <c r="M240" s="160">
        <v>7926.54</v>
      </c>
      <c r="N240" s="167">
        <v>2016</v>
      </c>
      <c r="O240" s="167">
        <f>IFERROR(('General Input Sheet'!$G$38/(VLOOKUP(N240,'General Input Sheet'!$E$38:$G$44,3,FALSE))),1)</f>
        <v>1</v>
      </c>
      <c r="P240" s="189">
        <f t="shared" si="36"/>
        <v>109916.54</v>
      </c>
      <c r="Q240" s="89" t="str">
        <f t="shared" si="45"/>
        <v>y</v>
      </c>
      <c r="R240" s="89" t="str">
        <f t="shared" si="45"/>
        <v/>
      </c>
      <c r="S240" s="89" t="str">
        <f t="shared" si="45"/>
        <v/>
      </c>
      <c r="T240" s="89" t="str">
        <f t="shared" si="45"/>
        <v/>
      </c>
      <c r="U240" s="254" t="str">
        <f t="shared" si="45"/>
        <v/>
      </c>
      <c r="V240" s="308"/>
      <c r="W240" s="309" cm="1">
        <f t="array" ref="W240">_xlfn.IFS(AND(Q240="y",$D240="Local"), 1, AND(Q240="y",$D240&lt;&gt;"Local"),1.49009696454663%, Q240="","")</f>
        <v>1</v>
      </c>
      <c r="X240" s="272" t="str" cm="1">
        <f t="array" ref="X240">_xlfn.IFS(AND(R240="y",$D240="Local"), 1, AND(R240="y",$D240&lt;&gt;"Local"),20.7557554582461%, R240="","")</f>
        <v/>
      </c>
      <c r="Y240" s="272" t="str" cm="1">
        <f t="array" ref="Y240">_xlfn.IFS(AND(S240="y",$D240="Local"), 1, AND(S240="y",$D240&lt;&gt;"Local"),30.3499104327336%, S240="","")</f>
        <v/>
      </c>
      <c r="Z240" s="272" t="str" cm="1">
        <f t="array" ref="Z240">_xlfn.IFS(AND(T240="y",$D240="Local"), 1, AND(T240="y",$D240&lt;&gt;"Local"),29.0043833288201%, T240="","")</f>
        <v/>
      </c>
      <c r="AA240" s="272" t="str" cm="1">
        <f t="array" ref="AA240">_xlfn.IFS(AND(U240="y",$D240="Local"), 1, AND(U240="y",$D240&lt;&gt;"Local"),18.3998538156536%, U240="","")</f>
        <v/>
      </c>
      <c r="AB240" s="68">
        <f t="shared" si="37"/>
        <v>1</v>
      </c>
      <c r="AD240" s="306">
        <f t="shared" si="38"/>
        <v>109916.54</v>
      </c>
      <c r="AE240" s="242" t="str">
        <f t="shared" si="39"/>
        <v/>
      </c>
      <c r="AF240" s="242" t="str">
        <f t="shared" si="40"/>
        <v/>
      </c>
      <c r="AG240" s="242" t="str">
        <f t="shared" si="41"/>
        <v/>
      </c>
      <c r="AH240" s="352" t="str">
        <f t="shared" si="42"/>
        <v/>
      </c>
    </row>
    <row r="241" spans="2:34">
      <c r="B241" s="166" t="s">
        <v>369</v>
      </c>
      <c r="C241" s="150"/>
      <c r="D241" s="150" t="s">
        <v>118</v>
      </c>
      <c r="E241" s="150" t="s">
        <v>142</v>
      </c>
      <c r="F241" s="150" t="s">
        <v>792</v>
      </c>
      <c r="G241" s="146">
        <v>56000</v>
      </c>
      <c r="H241" s="155">
        <v>1024</v>
      </c>
      <c r="I241" s="135">
        <f t="shared" si="43"/>
        <v>45</v>
      </c>
      <c r="J241" s="147">
        <v>102080</v>
      </c>
      <c r="K241" s="155">
        <v>1040.97971411662</v>
      </c>
      <c r="L241" s="88">
        <f t="shared" si="44"/>
        <v>569.60764168510241</v>
      </c>
      <c r="M241" s="160">
        <v>592950</v>
      </c>
      <c r="N241" s="167">
        <v>2016</v>
      </c>
      <c r="O241" s="167">
        <f>IFERROR(('General Input Sheet'!$G$38/(VLOOKUP(N241,'General Input Sheet'!$E$38:$G$44,3,FALSE))),1)</f>
        <v>1</v>
      </c>
      <c r="P241" s="189">
        <f t="shared" si="36"/>
        <v>695030</v>
      </c>
      <c r="Q241" s="89" t="str">
        <f t="shared" si="45"/>
        <v>y</v>
      </c>
      <c r="R241" s="89" t="str">
        <f t="shared" si="45"/>
        <v>y</v>
      </c>
      <c r="S241" s="89" t="str">
        <f t="shared" si="45"/>
        <v>y</v>
      </c>
      <c r="T241" s="89" t="str">
        <f t="shared" si="45"/>
        <v>y</v>
      </c>
      <c r="U241" s="254" t="str">
        <f t="shared" si="45"/>
        <v>y</v>
      </c>
      <c r="V241" s="308"/>
      <c r="W241" s="309" cm="1">
        <f t="array" ref="W241">_xlfn.IFS(AND(Q241="y",$D241="Local"), 1, AND(Q241="y",$D241&lt;&gt;"Local"),1.49009696454663%, Q241="","")</f>
        <v>1.49009696454663E-2</v>
      </c>
      <c r="X241" s="272" cm="1">
        <f t="array" ref="X241">_xlfn.IFS(AND(R241="y",$D241="Local"), 1, AND(R241="y",$D241&lt;&gt;"Local"),20.7557554582461%, R241="","")</f>
        <v>0.207557554582461</v>
      </c>
      <c r="Y241" s="272" cm="1">
        <f t="array" ref="Y241">_xlfn.IFS(AND(S241="y",$D241="Local"), 1, AND(S241="y",$D241&lt;&gt;"Local"),30.3499104327336%, S241="","")</f>
        <v>0.30349910432733601</v>
      </c>
      <c r="Z241" s="272" cm="1">
        <f t="array" ref="Z241">_xlfn.IFS(AND(T241="y",$D241="Local"), 1, AND(T241="y",$D241&lt;&gt;"Local"),29.0043833288201%, T241="","")</f>
        <v>0.29004383328820099</v>
      </c>
      <c r="AA241" s="272" cm="1">
        <f t="array" ref="AA241">_xlfn.IFS(AND(U241="y",$D241="Local"), 1, AND(U241="y",$D241&lt;&gt;"Local"),18.3998538156536%, U241="","")</f>
        <v>0.183998538156536</v>
      </c>
      <c r="AB241" s="68">
        <f t="shared" si="37"/>
        <v>1.0000000000000004</v>
      </c>
      <c r="AD241" s="306">
        <f t="shared" si="38"/>
        <v>10356.620932688438</v>
      </c>
      <c r="AE241" s="242">
        <f t="shared" si="39"/>
        <v>144258.72716144781</v>
      </c>
      <c r="AF241" s="242">
        <f t="shared" si="40"/>
        <v>210940.98248062827</v>
      </c>
      <c r="AG241" s="242">
        <f t="shared" si="41"/>
        <v>201589.16545029826</v>
      </c>
      <c r="AH241" s="352">
        <f t="shared" si="42"/>
        <v>127884.50397493715</v>
      </c>
    </row>
    <row r="242" spans="2:34">
      <c r="B242" s="166" t="s">
        <v>370</v>
      </c>
      <c r="C242" s="150"/>
      <c r="D242" s="150" t="s">
        <v>118</v>
      </c>
      <c r="E242" s="150" t="s">
        <v>141</v>
      </c>
      <c r="F242" s="150" t="s">
        <v>793</v>
      </c>
      <c r="G242" s="146">
        <v>56000</v>
      </c>
      <c r="H242" s="155">
        <v>964</v>
      </c>
      <c r="I242" s="135">
        <f t="shared" si="43"/>
        <v>45</v>
      </c>
      <c r="J242" s="147">
        <v>99380</v>
      </c>
      <c r="K242" s="155">
        <v>598.568938290495</v>
      </c>
      <c r="L242" s="88">
        <f t="shared" si="44"/>
        <v>576.62312211813082</v>
      </c>
      <c r="M242" s="160">
        <v>345148.69</v>
      </c>
      <c r="N242" s="167">
        <v>2016</v>
      </c>
      <c r="O242" s="167">
        <f>IFERROR(('General Input Sheet'!$G$38/(VLOOKUP(N242,'General Input Sheet'!$E$38:$G$44,3,FALSE))),1)</f>
        <v>1</v>
      </c>
      <c r="P242" s="189">
        <f t="shared" si="36"/>
        <v>444528.69</v>
      </c>
      <c r="Q242" s="89" t="str">
        <f t="shared" si="45"/>
        <v>y</v>
      </c>
      <c r="R242" s="89" t="str">
        <f t="shared" si="45"/>
        <v>y</v>
      </c>
      <c r="S242" s="89" t="str">
        <f t="shared" si="45"/>
        <v>y</v>
      </c>
      <c r="T242" s="89" t="str">
        <f t="shared" si="45"/>
        <v>y</v>
      </c>
      <c r="U242" s="254" t="str">
        <f t="shared" si="45"/>
        <v>y</v>
      </c>
      <c r="V242" s="308"/>
      <c r="W242" s="309" cm="1">
        <f t="array" ref="W242">_xlfn.IFS(AND(Q242="y",$D242="Local"), 1, AND(Q242="y",$D242&lt;&gt;"Local"),1.49009696454663%, Q242="","")</f>
        <v>1.49009696454663E-2</v>
      </c>
      <c r="X242" s="272" cm="1">
        <f t="array" ref="X242">_xlfn.IFS(AND(R242="y",$D242="Local"), 1, AND(R242="y",$D242&lt;&gt;"Local"),20.7557554582461%, R242="","")</f>
        <v>0.207557554582461</v>
      </c>
      <c r="Y242" s="272" cm="1">
        <f t="array" ref="Y242">_xlfn.IFS(AND(S242="y",$D242="Local"), 1, AND(S242="y",$D242&lt;&gt;"Local"),30.3499104327336%, S242="","")</f>
        <v>0.30349910432733601</v>
      </c>
      <c r="Z242" s="272" cm="1">
        <f t="array" ref="Z242">_xlfn.IFS(AND(T242="y",$D242="Local"), 1, AND(T242="y",$D242&lt;&gt;"Local"),29.0043833288201%, T242="","")</f>
        <v>0.29004383328820099</v>
      </c>
      <c r="AA242" s="272" cm="1">
        <f t="array" ref="AA242">_xlfn.IFS(AND(U242="y",$D242="Local"), 1, AND(U242="y",$D242&lt;&gt;"Local"),18.3998538156536%, U242="","")</f>
        <v>0.183998538156536</v>
      </c>
      <c r="AB242" s="68">
        <f t="shared" si="37"/>
        <v>1.0000000000000004</v>
      </c>
      <c r="AD242" s="306">
        <f t="shared" si="38"/>
        <v>6623.9085162288957</v>
      </c>
      <c r="AE242" s="242">
        <f t="shared" si="39"/>
        <v>92265.287838144854</v>
      </c>
      <c r="AF242" s="242">
        <f t="shared" si="40"/>
        <v>134914.05926280396</v>
      </c>
      <c r="AG242" s="242">
        <f t="shared" si="41"/>
        <v>128932.80525418233</v>
      </c>
      <c r="AH242" s="352">
        <f t="shared" si="42"/>
        <v>81792.629128639921</v>
      </c>
    </row>
    <row r="243" spans="2:34">
      <c r="B243" s="166" t="s">
        <v>371</v>
      </c>
      <c r="C243" s="150"/>
      <c r="D243" s="150" t="s">
        <v>117</v>
      </c>
      <c r="E243" s="150" t="s">
        <v>140</v>
      </c>
      <c r="F243" s="150" t="s">
        <v>794</v>
      </c>
      <c r="G243" s="146"/>
      <c r="H243" s="155"/>
      <c r="I243" s="135">
        <f t="shared" si="43"/>
        <v>0</v>
      </c>
      <c r="J243" s="147"/>
      <c r="K243" s="155">
        <v>3970.20465202183</v>
      </c>
      <c r="L243" s="88">
        <f t="shared" si="44"/>
        <v>36.717699155826402</v>
      </c>
      <c r="M243" s="160">
        <v>145776.78</v>
      </c>
      <c r="N243" s="167">
        <v>2016</v>
      </c>
      <c r="O243" s="167">
        <f>IFERROR(('General Input Sheet'!$G$38/(VLOOKUP(N243,'General Input Sheet'!$E$38:$G$44,3,FALSE))),1)</f>
        <v>1</v>
      </c>
      <c r="P243" s="189">
        <f t="shared" si="36"/>
        <v>145776.78</v>
      </c>
      <c r="Q243" s="89" t="str">
        <f t="shared" si="45"/>
        <v>y</v>
      </c>
      <c r="R243" s="89" t="str">
        <f t="shared" si="45"/>
        <v>y</v>
      </c>
      <c r="S243" s="89" t="str">
        <f t="shared" si="45"/>
        <v>y</v>
      </c>
      <c r="T243" s="89" t="str">
        <f t="shared" si="45"/>
        <v>y</v>
      </c>
      <c r="U243" s="254" t="str">
        <f t="shared" si="45"/>
        <v>y</v>
      </c>
      <c r="V243" s="308"/>
      <c r="W243" s="309" cm="1">
        <f t="array" ref="W243">_xlfn.IFS(AND(Q243="y",$D243="Local"), 1, AND(Q243="y",$D243&lt;&gt;"Local"),1.49009696454663%, Q243="","")</f>
        <v>1.49009696454663E-2</v>
      </c>
      <c r="X243" s="272" cm="1">
        <f t="array" ref="X243">_xlfn.IFS(AND(R243="y",$D243="Local"), 1, AND(R243="y",$D243&lt;&gt;"Local"),20.7557554582461%, R243="","")</f>
        <v>0.207557554582461</v>
      </c>
      <c r="Y243" s="272" cm="1">
        <f t="array" ref="Y243">_xlfn.IFS(AND(S243="y",$D243="Local"), 1, AND(S243="y",$D243&lt;&gt;"Local"),30.3499104327336%, S243="","")</f>
        <v>0.30349910432733601</v>
      </c>
      <c r="Z243" s="272" cm="1">
        <f t="array" ref="Z243">_xlfn.IFS(AND(T243="y",$D243="Local"), 1, AND(T243="y",$D243&lt;&gt;"Local"),29.0043833288201%, T243="","")</f>
        <v>0.29004383328820099</v>
      </c>
      <c r="AA243" s="272" cm="1">
        <f t="array" ref="AA243">_xlfn.IFS(AND(U243="y",$D243="Local"), 1, AND(U243="y",$D243&lt;&gt;"Local"),18.3998538156536%, U243="","")</f>
        <v>0.183998538156536</v>
      </c>
      <c r="AB243" s="68">
        <f t="shared" si="37"/>
        <v>1.0000000000000004</v>
      </c>
      <c r="AD243" s="306">
        <f t="shared" si="38"/>
        <v>2172.2153737938179</v>
      </c>
      <c r="AE243" s="242">
        <f t="shared" si="39"/>
        <v>30257.071971705398</v>
      </c>
      <c r="AF243" s="242">
        <f t="shared" si="40"/>
        <v>44243.122161723091</v>
      </c>
      <c r="AG243" s="242">
        <f t="shared" si="41"/>
        <v>42281.656075610736</v>
      </c>
      <c r="AH243" s="352">
        <f t="shared" si="42"/>
        <v>26822.714417166942</v>
      </c>
    </row>
    <row r="244" spans="2:34">
      <c r="B244" s="166" t="s">
        <v>372</v>
      </c>
      <c r="C244" s="150"/>
      <c r="D244" s="150" t="s">
        <v>117</v>
      </c>
      <c r="E244" s="150" t="s">
        <v>141</v>
      </c>
      <c r="F244" s="150" t="s">
        <v>795</v>
      </c>
      <c r="G244" s="146"/>
      <c r="H244" s="155"/>
      <c r="I244" s="135">
        <f t="shared" si="43"/>
        <v>0</v>
      </c>
      <c r="J244" s="147"/>
      <c r="K244" s="155">
        <v>682.305649357265</v>
      </c>
      <c r="L244" s="88">
        <f t="shared" si="44"/>
        <v>286.9798897084496</v>
      </c>
      <c r="M244" s="160">
        <v>195808</v>
      </c>
      <c r="N244" s="167">
        <v>2016</v>
      </c>
      <c r="O244" s="167">
        <f>IFERROR(('General Input Sheet'!$G$38/(VLOOKUP(N244,'General Input Sheet'!$E$38:$G$44,3,FALSE))),1)</f>
        <v>1</v>
      </c>
      <c r="P244" s="189">
        <f t="shared" si="36"/>
        <v>195808</v>
      </c>
      <c r="Q244" s="89" t="str">
        <f t="shared" si="45"/>
        <v>y</v>
      </c>
      <c r="R244" s="89" t="str">
        <f t="shared" si="45"/>
        <v>y</v>
      </c>
      <c r="S244" s="89" t="str">
        <f t="shared" si="45"/>
        <v>y</v>
      </c>
      <c r="T244" s="89" t="str">
        <f t="shared" si="45"/>
        <v>y</v>
      </c>
      <c r="U244" s="254" t="str">
        <f t="shared" si="45"/>
        <v>y</v>
      </c>
      <c r="V244" s="308"/>
      <c r="W244" s="309" cm="1">
        <f t="array" ref="W244">_xlfn.IFS(AND(Q244="y",$D244="Local"), 1, AND(Q244="y",$D244&lt;&gt;"Local"),1.49009696454663%, Q244="","")</f>
        <v>1.49009696454663E-2</v>
      </c>
      <c r="X244" s="272" cm="1">
        <f t="array" ref="X244">_xlfn.IFS(AND(R244="y",$D244="Local"), 1, AND(R244="y",$D244&lt;&gt;"Local"),20.7557554582461%, R244="","")</f>
        <v>0.207557554582461</v>
      </c>
      <c r="Y244" s="272" cm="1">
        <f t="array" ref="Y244">_xlfn.IFS(AND(S244="y",$D244="Local"), 1, AND(S244="y",$D244&lt;&gt;"Local"),30.3499104327336%, S244="","")</f>
        <v>0.30349910432733601</v>
      </c>
      <c r="Z244" s="272" cm="1">
        <f t="array" ref="Z244">_xlfn.IFS(AND(T244="y",$D244="Local"), 1, AND(T244="y",$D244&lt;&gt;"Local"),29.0043833288201%, T244="","")</f>
        <v>0.29004383328820099</v>
      </c>
      <c r="AA244" s="272" cm="1">
        <f t="array" ref="AA244">_xlfn.IFS(AND(U244="y",$D244="Local"), 1, AND(U244="y",$D244&lt;&gt;"Local"),18.3998538156536%, U244="","")</f>
        <v>0.183998538156536</v>
      </c>
      <c r="AB244" s="68">
        <f t="shared" si="37"/>
        <v>1.0000000000000004</v>
      </c>
      <c r="AD244" s="306">
        <f t="shared" si="38"/>
        <v>2917.729064339464</v>
      </c>
      <c r="AE244" s="242">
        <f t="shared" si="39"/>
        <v>40641.429647682504</v>
      </c>
      <c r="AF244" s="242">
        <f t="shared" si="40"/>
        <v>59427.552620126989</v>
      </c>
      <c r="AG244" s="242">
        <f t="shared" si="41"/>
        <v>56792.902908496035</v>
      </c>
      <c r="AH244" s="352">
        <f t="shared" si="42"/>
        <v>36028.385759354984</v>
      </c>
    </row>
    <row r="245" spans="2:34">
      <c r="B245" s="166" t="s">
        <v>373</v>
      </c>
      <c r="C245" s="150"/>
      <c r="D245" s="150" t="s">
        <v>117</v>
      </c>
      <c r="E245" s="150" t="s">
        <v>141</v>
      </c>
      <c r="F245" s="150" t="s">
        <v>796</v>
      </c>
      <c r="G245" s="146"/>
      <c r="H245" s="155"/>
      <c r="I245" s="135">
        <f t="shared" si="43"/>
        <v>0</v>
      </c>
      <c r="J245" s="147"/>
      <c r="K245" s="155">
        <v>726.06186516133801</v>
      </c>
      <c r="L245" s="88">
        <f t="shared" si="44"/>
        <v>299.65077418252088</v>
      </c>
      <c r="M245" s="160">
        <v>217565</v>
      </c>
      <c r="N245" s="167">
        <v>2016</v>
      </c>
      <c r="O245" s="167">
        <f>IFERROR(('General Input Sheet'!$G$38/(VLOOKUP(N245,'General Input Sheet'!$E$38:$G$44,3,FALSE))),1)</f>
        <v>1</v>
      </c>
      <c r="P245" s="189">
        <f t="shared" si="36"/>
        <v>217565</v>
      </c>
      <c r="Q245" s="89" t="str">
        <f t="shared" si="45"/>
        <v>y</v>
      </c>
      <c r="R245" s="89" t="str">
        <f t="shared" si="45"/>
        <v>y</v>
      </c>
      <c r="S245" s="89" t="str">
        <f t="shared" si="45"/>
        <v>y</v>
      </c>
      <c r="T245" s="89" t="str">
        <f t="shared" si="45"/>
        <v>y</v>
      </c>
      <c r="U245" s="254" t="str">
        <f t="shared" si="45"/>
        <v>y</v>
      </c>
      <c r="V245" s="308"/>
      <c r="W245" s="309" cm="1">
        <f t="array" ref="W245">_xlfn.IFS(AND(Q245="y",$D245="Local"), 1, AND(Q245="y",$D245&lt;&gt;"Local"),1.49009696454663%, Q245="","")</f>
        <v>1.49009696454663E-2</v>
      </c>
      <c r="X245" s="272" cm="1">
        <f t="array" ref="X245">_xlfn.IFS(AND(R245="y",$D245="Local"), 1, AND(R245="y",$D245&lt;&gt;"Local"),20.7557554582461%, R245="","")</f>
        <v>0.207557554582461</v>
      </c>
      <c r="Y245" s="272" cm="1">
        <f t="array" ref="Y245">_xlfn.IFS(AND(S245="y",$D245="Local"), 1, AND(S245="y",$D245&lt;&gt;"Local"),30.3499104327336%, S245="","")</f>
        <v>0.30349910432733601</v>
      </c>
      <c r="Z245" s="272" cm="1">
        <f t="array" ref="Z245">_xlfn.IFS(AND(T245="y",$D245="Local"), 1, AND(T245="y",$D245&lt;&gt;"Local"),29.0043833288201%, T245="","")</f>
        <v>0.29004383328820099</v>
      </c>
      <c r="AA245" s="272" cm="1">
        <f t="array" ref="AA245">_xlfn.IFS(AND(U245="y",$D245="Local"), 1, AND(U245="y",$D245&lt;&gt;"Local"),18.3998538156536%, U245="","")</f>
        <v>0.183998538156536</v>
      </c>
      <c r="AB245" s="68">
        <f t="shared" si="37"/>
        <v>1.0000000000000004</v>
      </c>
      <c r="AD245" s="306">
        <f t="shared" si="38"/>
        <v>3241.9294609158742</v>
      </c>
      <c r="AE245" s="242">
        <f t="shared" si="39"/>
        <v>45157.259362733108</v>
      </c>
      <c r="AF245" s="242">
        <f t="shared" si="40"/>
        <v>66030.782632976829</v>
      </c>
      <c r="AG245" s="242">
        <f t="shared" si="41"/>
        <v>63103.386589347421</v>
      </c>
      <c r="AH245" s="352">
        <f t="shared" si="42"/>
        <v>40031.641954026738</v>
      </c>
    </row>
    <row r="246" spans="2:34">
      <c r="B246" s="166" t="s">
        <v>374</v>
      </c>
      <c r="C246" s="150"/>
      <c r="D246" s="150" t="s">
        <v>117</v>
      </c>
      <c r="E246" s="150" t="s">
        <v>141</v>
      </c>
      <c r="F246" s="150" t="s">
        <v>797</v>
      </c>
      <c r="G246" s="146"/>
      <c r="H246" s="155"/>
      <c r="I246" s="135">
        <f t="shared" si="43"/>
        <v>0</v>
      </c>
      <c r="J246" s="147"/>
      <c r="K246" s="155">
        <v>29.636888471441299</v>
      </c>
      <c r="L246" s="88">
        <f t="shared" si="44"/>
        <v>289.90458995988394</v>
      </c>
      <c r="M246" s="160">
        <v>8591.8700000000008</v>
      </c>
      <c r="N246" s="167">
        <v>2016</v>
      </c>
      <c r="O246" s="167">
        <f>IFERROR(('General Input Sheet'!$G$38/(VLOOKUP(N246,'General Input Sheet'!$E$38:$G$44,3,FALSE))),1)</f>
        <v>1</v>
      </c>
      <c r="P246" s="189">
        <f t="shared" si="36"/>
        <v>8591.8700000000008</v>
      </c>
      <c r="Q246" s="89" t="str">
        <f t="shared" si="45"/>
        <v>y</v>
      </c>
      <c r="R246" s="89" t="str">
        <f t="shared" si="45"/>
        <v>y</v>
      </c>
      <c r="S246" s="89" t="str">
        <f t="shared" si="45"/>
        <v>y</v>
      </c>
      <c r="T246" s="89" t="str">
        <f t="shared" si="45"/>
        <v>y</v>
      </c>
      <c r="U246" s="254" t="str">
        <f t="shared" si="45"/>
        <v>y</v>
      </c>
      <c r="V246" s="308"/>
      <c r="W246" s="309" cm="1">
        <f t="array" ref="W246">_xlfn.IFS(AND(Q246="y",$D246="Local"), 1, AND(Q246="y",$D246&lt;&gt;"Local"),1.49009696454663%, Q246="","")</f>
        <v>1.49009696454663E-2</v>
      </c>
      <c r="X246" s="272" cm="1">
        <f t="array" ref="X246">_xlfn.IFS(AND(R246="y",$D246="Local"), 1, AND(R246="y",$D246&lt;&gt;"Local"),20.7557554582461%, R246="","")</f>
        <v>0.207557554582461</v>
      </c>
      <c r="Y246" s="272" cm="1">
        <f t="array" ref="Y246">_xlfn.IFS(AND(S246="y",$D246="Local"), 1, AND(S246="y",$D246&lt;&gt;"Local"),30.3499104327336%, S246="","")</f>
        <v>0.30349910432733601</v>
      </c>
      <c r="Z246" s="272" cm="1">
        <f t="array" ref="Z246">_xlfn.IFS(AND(T246="y",$D246="Local"), 1, AND(T246="y",$D246&lt;&gt;"Local"),29.0043833288201%, T246="","")</f>
        <v>0.29004383328820099</v>
      </c>
      <c r="AA246" s="272" cm="1">
        <f t="array" ref="AA246">_xlfn.IFS(AND(U246="y",$D246="Local"), 1, AND(U246="y",$D246&lt;&gt;"Local"),18.3998538156536%, U246="","")</f>
        <v>0.183998538156536</v>
      </c>
      <c r="AB246" s="68">
        <f t="shared" si="37"/>
        <v>1.0000000000000004</v>
      </c>
      <c r="AD246" s="306">
        <f t="shared" si="38"/>
        <v>128.02719406779249</v>
      </c>
      <c r="AE246" s="242">
        <f t="shared" si="39"/>
        <v>1783.3075264904087</v>
      </c>
      <c r="AF246" s="242">
        <f t="shared" si="40"/>
        <v>2607.6248494969077</v>
      </c>
      <c r="AG246" s="242">
        <f t="shared" si="41"/>
        <v>2492.0189099138947</v>
      </c>
      <c r="AH246" s="352">
        <f t="shared" si="42"/>
        <v>1580.8915200309964</v>
      </c>
    </row>
    <row r="247" spans="2:34">
      <c r="B247" s="166" t="s">
        <v>375</v>
      </c>
      <c r="C247" s="150"/>
      <c r="D247" s="150" t="s">
        <v>116</v>
      </c>
      <c r="E247" s="150" t="s">
        <v>143</v>
      </c>
      <c r="F247" s="150" t="s">
        <v>798</v>
      </c>
      <c r="G247" s="146"/>
      <c r="H247" s="155"/>
      <c r="I247" s="135">
        <f t="shared" si="43"/>
        <v>0</v>
      </c>
      <c r="J247" s="147"/>
      <c r="K247" s="155">
        <v>1853.3081195438201</v>
      </c>
      <c r="L247" s="88">
        <f t="shared" si="44"/>
        <v>205.9468287949598</v>
      </c>
      <c r="M247" s="160">
        <v>381682.93</v>
      </c>
      <c r="N247" s="167">
        <v>2016</v>
      </c>
      <c r="O247" s="167">
        <f>IFERROR(('General Input Sheet'!$G$38/(VLOOKUP(N247,'General Input Sheet'!$E$38:$G$44,3,FALSE))),1)</f>
        <v>1</v>
      </c>
      <c r="P247" s="189">
        <f t="shared" si="36"/>
        <v>381682.93</v>
      </c>
      <c r="Q247" s="89" t="str">
        <f t="shared" si="45"/>
        <v/>
      </c>
      <c r="R247" s="89" t="str">
        <f t="shared" si="45"/>
        <v/>
      </c>
      <c r="S247" s="89" t="str">
        <f t="shared" si="45"/>
        <v/>
      </c>
      <c r="T247" s="89" t="str">
        <f t="shared" si="45"/>
        <v/>
      </c>
      <c r="U247" s="254" t="str">
        <f t="shared" si="45"/>
        <v>y</v>
      </c>
      <c r="V247" s="308"/>
      <c r="W247" s="309" t="str" cm="1">
        <f t="array" ref="W247">_xlfn.IFS(AND(Q247="y",$D247="Local"), 1, AND(Q247="y",$D247&lt;&gt;"Local"),1.49009696454663%, Q247="","")</f>
        <v/>
      </c>
      <c r="X247" s="272" t="str" cm="1">
        <f t="array" ref="X247">_xlfn.IFS(AND(R247="y",$D247="Local"), 1, AND(R247="y",$D247&lt;&gt;"Local"),20.7557554582461%, R247="","")</f>
        <v/>
      </c>
      <c r="Y247" s="272" t="str" cm="1">
        <f t="array" ref="Y247">_xlfn.IFS(AND(S247="y",$D247="Local"), 1, AND(S247="y",$D247&lt;&gt;"Local"),30.3499104327336%, S247="","")</f>
        <v/>
      </c>
      <c r="Z247" s="272" t="str" cm="1">
        <f t="array" ref="Z247">_xlfn.IFS(AND(T247="y",$D247="Local"), 1, AND(T247="y",$D247&lt;&gt;"Local"),29.0043833288201%, T247="","")</f>
        <v/>
      </c>
      <c r="AA247" s="272" cm="1">
        <f t="array" ref="AA247">_xlfn.IFS(AND(U247="y",$D247="Local"), 1, AND(U247="y",$D247&lt;&gt;"Local"),18.3998538156536%, U247="","")</f>
        <v>1</v>
      </c>
      <c r="AB247" s="68">
        <f t="shared" si="37"/>
        <v>1</v>
      </c>
      <c r="AD247" s="306" t="str">
        <f t="shared" si="38"/>
        <v/>
      </c>
      <c r="AE247" s="242" t="str">
        <f t="shared" si="39"/>
        <v/>
      </c>
      <c r="AF247" s="242" t="str">
        <f t="shared" si="40"/>
        <v/>
      </c>
      <c r="AG247" s="242" t="str">
        <f t="shared" si="41"/>
        <v/>
      </c>
      <c r="AH247" s="352">
        <f t="shared" si="42"/>
        <v>381682.93</v>
      </c>
    </row>
    <row r="248" spans="2:34">
      <c r="B248" s="166" t="s">
        <v>376</v>
      </c>
      <c r="C248" s="150"/>
      <c r="D248" s="150" t="s">
        <v>116</v>
      </c>
      <c r="E248" s="150" t="s">
        <v>141</v>
      </c>
      <c r="F248" s="150" t="s">
        <v>799</v>
      </c>
      <c r="G248" s="146"/>
      <c r="H248" s="155"/>
      <c r="I248" s="135">
        <f t="shared" si="43"/>
        <v>0</v>
      </c>
      <c r="J248" s="147"/>
      <c r="K248" s="155">
        <v>628.08582798059103</v>
      </c>
      <c r="L248" s="88">
        <f t="shared" si="44"/>
        <v>311.75357137026634</v>
      </c>
      <c r="M248" s="160">
        <v>195808</v>
      </c>
      <c r="N248" s="167">
        <v>2016</v>
      </c>
      <c r="O248" s="167">
        <f>IFERROR(('General Input Sheet'!$G$38/(VLOOKUP(N248,'General Input Sheet'!$E$38:$G$44,3,FALSE))),1)</f>
        <v>1</v>
      </c>
      <c r="P248" s="189">
        <f t="shared" si="36"/>
        <v>195808</v>
      </c>
      <c r="Q248" s="89" t="str">
        <f t="shared" si="45"/>
        <v/>
      </c>
      <c r="R248" s="89" t="str">
        <f t="shared" si="45"/>
        <v/>
      </c>
      <c r="S248" s="89" t="str">
        <f t="shared" si="45"/>
        <v>y</v>
      </c>
      <c r="T248" s="89" t="str">
        <f t="shared" si="45"/>
        <v/>
      </c>
      <c r="U248" s="254" t="str">
        <f t="shared" si="45"/>
        <v/>
      </c>
      <c r="V248" s="308"/>
      <c r="W248" s="309" t="str" cm="1">
        <f t="array" ref="W248">_xlfn.IFS(AND(Q248="y",$D248="Local"), 1, AND(Q248="y",$D248&lt;&gt;"Local"),1.49009696454663%, Q248="","")</f>
        <v/>
      </c>
      <c r="X248" s="272" t="str" cm="1">
        <f t="array" ref="X248">_xlfn.IFS(AND(R248="y",$D248="Local"), 1, AND(R248="y",$D248&lt;&gt;"Local"),20.7557554582461%, R248="","")</f>
        <v/>
      </c>
      <c r="Y248" s="272" cm="1">
        <f t="array" ref="Y248">_xlfn.IFS(AND(S248="y",$D248="Local"), 1, AND(S248="y",$D248&lt;&gt;"Local"),30.3499104327336%, S248="","")</f>
        <v>1</v>
      </c>
      <c r="Z248" s="272" t="str" cm="1">
        <f t="array" ref="Z248">_xlfn.IFS(AND(T248="y",$D248="Local"), 1, AND(T248="y",$D248&lt;&gt;"Local"),29.0043833288201%, T248="","")</f>
        <v/>
      </c>
      <c r="AA248" s="272" t="str" cm="1">
        <f t="array" ref="AA248">_xlfn.IFS(AND(U248="y",$D248="Local"), 1, AND(U248="y",$D248&lt;&gt;"Local"),18.3998538156536%, U248="","")</f>
        <v/>
      </c>
      <c r="AB248" s="68">
        <f t="shared" si="37"/>
        <v>1</v>
      </c>
      <c r="AD248" s="306" t="str">
        <f t="shared" si="38"/>
        <v/>
      </c>
      <c r="AE248" s="242" t="str">
        <f t="shared" si="39"/>
        <v/>
      </c>
      <c r="AF248" s="242">
        <f t="shared" si="40"/>
        <v>195808</v>
      </c>
      <c r="AG248" s="242" t="str">
        <f t="shared" si="41"/>
        <v/>
      </c>
      <c r="AH248" s="352" t="str">
        <f t="shared" si="42"/>
        <v/>
      </c>
    </row>
    <row r="249" spans="2:34">
      <c r="B249" s="166" t="s">
        <v>377</v>
      </c>
      <c r="C249" s="150"/>
      <c r="D249" s="150" t="s">
        <v>118</v>
      </c>
      <c r="E249" s="150" t="s">
        <v>143</v>
      </c>
      <c r="F249" s="150" t="s">
        <v>800</v>
      </c>
      <c r="G249" s="146"/>
      <c r="H249" s="155"/>
      <c r="I249" s="135">
        <f t="shared" si="43"/>
        <v>0</v>
      </c>
      <c r="J249" s="147"/>
      <c r="K249" s="155">
        <v>223.00925013472801</v>
      </c>
      <c r="L249" s="88">
        <f t="shared" si="44"/>
        <v>2.3765830326760336E-3</v>
      </c>
      <c r="M249" s="160">
        <v>0.53</v>
      </c>
      <c r="N249" s="167">
        <v>2016</v>
      </c>
      <c r="O249" s="167">
        <f>IFERROR(('General Input Sheet'!$G$38/(VLOOKUP(N249,'General Input Sheet'!$E$38:$G$44,3,FALSE))),1)</f>
        <v>1</v>
      </c>
      <c r="P249" s="189">
        <f t="shared" si="36"/>
        <v>0.53</v>
      </c>
      <c r="Q249" s="89" t="str">
        <f t="shared" si="45"/>
        <v>y</v>
      </c>
      <c r="R249" s="89" t="str">
        <f t="shared" si="45"/>
        <v>y</v>
      </c>
      <c r="S249" s="89" t="str">
        <f t="shared" si="45"/>
        <v>y</v>
      </c>
      <c r="T249" s="89" t="str">
        <f t="shared" si="45"/>
        <v>y</v>
      </c>
      <c r="U249" s="254" t="str">
        <f t="shared" si="45"/>
        <v>y</v>
      </c>
      <c r="V249" s="308"/>
      <c r="W249" s="309" cm="1">
        <f t="array" ref="W249">_xlfn.IFS(AND(Q249="y",$D249="Local"), 1, AND(Q249="y",$D249&lt;&gt;"Local"),1.49009696454663%, Q249="","")</f>
        <v>1.49009696454663E-2</v>
      </c>
      <c r="X249" s="272" cm="1">
        <f t="array" ref="X249">_xlfn.IFS(AND(R249="y",$D249="Local"), 1, AND(R249="y",$D249&lt;&gt;"Local"),20.7557554582461%, R249="","")</f>
        <v>0.207557554582461</v>
      </c>
      <c r="Y249" s="272" cm="1">
        <f t="array" ref="Y249">_xlfn.IFS(AND(S249="y",$D249="Local"), 1, AND(S249="y",$D249&lt;&gt;"Local"),30.3499104327336%, S249="","")</f>
        <v>0.30349910432733601</v>
      </c>
      <c r="Z249" s="272" cm="1">
        <f t="array" ref="Z249">_xlfn.IFS(AND(T249="y",$D249="Local"), 1, AND(T249="y",$D249&lt;&gt;"Local"),29.0043833288201%, T249="","")</f>
        <v>0.29004383328820099</v>
      </c>
      <c r="AA249" s="272" cm="1">
        <f t="array" ref="AA249">_xlfn.IFS(AND(U249="y",$D249="Local"), 1, AND(U249="y",$D249&lt;&gt;"Local"),18.3998538156536%, U249="","")</f>
        <v>0.183998538156536</v>
      </c>
      <c r="AB249" s="68">
        <f t="shared" si="37"/>
        <v>1.0000000000000004</v>
      </c>
      <c r="AD249" s="306">
        <f t="shared" si="38"/>
        <v>7.8975139120971358E-3</v>
      </c>
      <c r="AE249" s="242">
        <f t="shared" si="39"/>
        <v>0.1100055039287043</v>
      </c>
      <c r="AF249" s="242">
        <f t="shared" si="40"/>
        <v>0.16085452529348804</v>
      </c>
      <c r="AG249" s="242">
        <f t="shared" si="41"/>
        <v>0.15372323164274648</v>
      </c>
      <c r="AH249" s="352">
        <f t="shared" si="42"/>
        <v>9.7519225222964037E-2</v>
      </c>
    </row>
    <row r="250" spans="2:34">
      <c r="B250" s="166" t="s">
        <v>378</v>
      </c>
      <c r="C250" s="150"/>
      <c r="D250" s="150" t="s">
        <v>116</v>
      </c>
      <c r="E250" s="150" t="s">
        <v>141</v>
      </c>
      <c r="F250" s="150" t="s">
        <v>801</v>
      </c>
      <c r="G250" s="146"/>
      <c r="H250" s="155"/>
      <c r="I250" s="135">
        <f t="shared" si="43"/>
        <v>0</v>
      </c>
      <c r="J250" s="147"/>
      <c r="K250" s="155">
        <v>677.23715056643005</v>
      </c>
      <c r="L250" s="88">
        <f t="shared" si="44"/>
        <v>382.50293827404306</v>
      </c>
      <c r="M250" s="160">
        <v>259045.2</v>
      </c>
      <c r="N250" s="167">
        <v>2016</v>
      </c>
      <c r="O250" s="167">
        <f>IFERROR(('General Input Sheet'!$G$38/(VLOOKUP(N250,'General Input Sheet'!$E$38:$G$44,3,FALSE))),1)</f>
        <v>1</v>
      </c>
      <c r="P250" s="189">
        <f t="shared" si="36"/>
        <v>259045.2</v>
      </c>
      <c r="Q250" s="89" t="str">
        <f t="shared" si="45"/>
        <v/>
      </c>
      <c r="R250" s="89" t="str">
        <f t="shared" si="45"/>
        <v/>
      </c>
      <c r="S250" s="89" t="str">
        <f t="shared" si="45"/>
        <v>y</v>
      </c>
      <c r="T250" s="89" t="str">
        <f t="shared" si="45"/>
        <v/>
      </c>
      <c r="U250" s="254" t="str">
        <f t="shared" si="45"/>
        <v/>
      </c>
      <c r="V250" s="308"/>
      <c r="W250" s="309" t="str" cm="1">
        <f t="array" ref="W250">_xlfn.IFS(AND(Q250="y",$D250="Local"), 1, AND(Q250="y",$D250&lt;&gt;"Local"),1.49009696454663%, Q250="","")</f>
        <v/>
      </c>
      <c r="X250" s="272" t="str" cm="1">
        <f t="array" ref="X250">_xlfn.IFS(AND(R250="y",$D250="Local"), 1, AND(R250="y",$D250&lt;&gt;"Local"),20.7557554582461%, R250="","")</f>
        <v/>
      </c>
      <c r="Y250" s="272" cm="1">
        <f t="array" ref="Y250">_xlfn.IFS(AND(S250="y",$D250="Local"), 1, AND(S250="y",$D250&lt;&gt;"Local"),30.3499104327336%, S250="","")</f>
        <v>1</v>
      </c>
      <c r="Z250" s="272" t="str" cm="1">
        <f t="array" ref="Z250">_xlfn.IFS(AND(T250="y",$D250="Local"), 1, AND(T250="y",$D250&lt;&gt;"Local"),29.0043833288201%, T250="","")</f>
        <v/>
      </c>
      <c r="AA250" s="272" t="str" cm="1">
        <f t="array" ref="AA250">_xlfn.IFS(AND(U250="y",$D250="Local"), 1, AND(U250="y",$D250&lt;&gt;"Local"),18.3998538156536%, U250="","")</f>
        <v/>
      </c>
      <c r="AB250" s="68">
        <f t="shared" si="37"/>
        <v>1</v>
      </c>
      <c r="AD250" s="306" t="str">
        <f t="shared" si="38"/>
        <v/>
      </c>
      <c r="AE250" s="242" t="str">
        <f t="shared" si="39"/>
        <v/>
      </c>
      <c r="AF250" s="242">
        <f t="shared" si="40"/>
        <v>259045.2</v>
      </c>
      <c r="AG250" s="242" t="str">
        <f t="shared" si="41"/>
        <v/>
      </c>
      <c r="AH250" s="352" t="str">
        <f t="shared" si="42"/>
        <v/>
      </c>
    </row>
    <row r="251" spans="2:34">
      <c r="B251" s="166" t="s">
        <v>379</v>
      </c>
      <c r="C251" s="150"/>
      <c r="D251" s="150" t="s">
        <v>116</v>
      </c>
      <c r="E251" s="150" t="s">
        <v>141</v>
      </c>
      <c r="F251" s="150" t="s">
        <v>802</v>
      </c>
      <c r="G251" s="146"/>
      <c r="H251" s="155"/>
      <c r="I251" s="135">
        <f t="shared" si="43"/>
        <v>0</v>
      </c>
      <c r="J251" s="147"/>
      <c r="K251" s="155">
        <v>1041.1235396582199</v>
      </c>
      <c r="L251" s="88">
        <f t="shared" si="44"/>
        <v>155.26132475408752</v>
      </c>
      <c r="M251" s="160">
        <v>161646.22</v>
      </c>
      <c r="N251" s="167">
        <v>2016</v>
      </c>
      <c r="O251" s="167">
        <f>IFERROR(('General Input Sheet'!$G$38/(VLOOKUP(N251,'General Input Sheet'!$E$38:$G$44,3,FALSE))),1)</f>
        <v>1</v>
      </c>
      <c r="P251" s="189">
        <f t="shared" si="36"/>
        <v>161646.22</v>
      </c>
      <c r="Q251" s="89" t="str">
        <f t="shared" si="45"/>
        <v/>
      </c>
      <c r="R251" s="89" t="str">
        <f t="shared" si="45"/>
        <v/>
      </c>
      <c r="S251" s="89" t="str">
        <f t="shared" si="45"/>
        <v>y</v>
      </c>
      <c r="T251" s="89" t="str">
        <f t="shared" si="45"/>
        <v/>
      </c>
      <c r="U251" s="254" t="str">
        <f t="shared" si="45"/>
        <v/>
      </c>
      <c r="V251" s="308"/>
      <c r="W251" s="309" t="str" cm="1">
        <f t="array" ref="W251">_xlfn.IFS(AND(Q251="y",$D251="Local"), 1, AND(Q251="y",$D251&lt;&gt;"Local"),1.49009696454663%, Q251="","")</f>
        <v/>
      </c>
      <c r="X251" s="272" t="str" cm="1">
        <f t="array" ref="X251">_xlfn.IFS(AND(R251="y",$D251="Local"), 1, AND(R251="y",$D251&lt;&gt;"Local"),20.7557554582461%, R251="","")</f>
        <v/>
      </c>
      <c r="Y251" s="272" cm="1">
        <f t="array" ref="Y251">_xlfn.IFS(AND(S251="y",$D251="Local"), 1, AND(S251="y",$D251&lt;&gt;"Local"),30.3499104327336%, S251="","")</f>
        <v>1</v>
      </c>
      <c r="Z251" s="272" t="str" cm="1">
        <f t="array" ref="Z251">_xlfn.IFS(AND(T251="y",$D251="Local"), 1, AND(T251="y",$D251&lt;&gt;"Local"),29.0043833288201%, T251="","")</f>
        <v/>
      </c>
      <c r="AA251" s="272" t="str" cm="1">
        <f t="array" ref="AA251">_xlfn.IFS(AND(U251="y",$D251="Local"), 1, AND(U251="y",$D251&lt;&gt;"Local"),18.3998538156536%, U251="","")</f>
        <v/>
      </c>
      <c r="AB251" s="68">
        <f t="shared" si="37"/>
        <v>1</v>
      </c>
      <c r="AD251" s="306" t="str">
        <f t="shared" si="38"/>
        <v/>
      </c>
      <c r="AE251" s="242" t="str">
        <f t="shared" si="39"/>
        <v/>
      </c>
      <c r="AF251" s="242">
        <f t="shared" si="40"/>
        <v>161646.22</v>
      </c>
      <c r="AG251" s="242" t="str">
        <f t="shared" si="41"/>
        <v/>
      </c>
      <c r="AH251" s="352" t="str">
        <f t="shared" si="42"/>
        <v/>
      </c>
    </row>
    <row r="252" spans="2:34">
      <c r="B252" s="166" t="s">
        <v>380</v>
      </c>
      <c r="C252" s="150"/>
      <c r="D252" s="150" t="s">
        <v>118</v>
      </c>
      <c r="E252" s="150" t="s">
        <v>143</v>
      </c>
      <c r="F252" s="150" t="s">
        <v>803</v>
      </c>
      <c r="G252" s="146"/>
      <c r="H252" s="155"/>
      <c r="I252" s="135">
        <f t="shared" si="43"/>
        <v>0</v>
      </c>
      <c r="J252" s="147"/>
      <c r="K252" s="155">
        <v>2678.6363799594801</v>
      </c>
      <c r="L252" s="88">
        <f t="shared" si="44"/>
        <v>33.980196297258111</v>
      </c>
      <c r="M252" s="160">
        <v>91020.59</v>
      </c>
      <c r="N252" s="167">
        <v>2016</v>
      </c>
      <c r="O252" s="167">
        <f>IFERROR(('General Input Sheet'!$G$38/(VLOOKUP(N252,'General Input Sheet'!$E$38:$G$44,3,FALSE))),1)</f>
        <v>1</v>
      </c>
      <c r="P252" s="189">
        <f t="shared" si="36"/>
        <v>91020.59</v>
      </c>
      <c r="Q252" s="89" t="str">
        <f t="shared" si="45"/>
        <v>y</v>
      </c>
      <c r="R252" s="89" t="str">
        <f t="shared" si="45"/>
        <v>y</v>
      </c>
      <c r="S252" s="89" t="str">
        <f t="shared" si="45"/>
        <v>y</v>
      </c>
      <c r="T252" s="89" t="str">
        <f t="shared" si="45"/>
        <v>y</v>
      </c>
      <c r="U252" s="254" t="str">
        <f t="shared" si="45"/>
        <v>y</v>
      </c>
      <c r="V252" s="308"/>
      <c r="W252" s="309" cm="1">
        <f t="array" ref="W252">_xlfn.IFS(AND(Q252="y",$D252="Local"), 1, AND(Q252="y",$D252&lt;&gt;"Local"),1.49009696454663%, Q252="","")</f>
        <v>1.49009696454663E-2</v>
      </c>
      <c r="X252" s="272" cm="1">
        <f t="array" ref="X252">_xlfn.IFS(AND(R252="y",$D252="Local"), 1, AND(R252="y",$D252&lt;&gt;"Local"),20.7557554582461%, R252="","")</f>
        <v>0.207557554582461</v>
      </c>
      <c r="Y252" s="272" cm="1">
        <f t="array" ref="Y252">_xlfn.IFS(AND(S252="y",$D252="Local"), 1, AND(S252="y",$D252&lt;&gt;"Local"),30.3499104327336%, S252="","")</f>
        <v>0.30349910432733601</v>
      </c>
      <c r="Z252" s="272" cm="1">
        <f t="array" ref="Z252">_xlfn.IFS(AND(T252="y",$D252="Local"), 1, AND(T252="y",$D252&lt;&gt;"Local"),29.0043833288201%, T252="","")</f>
        <v>0.29004383328820099</v>
      </c>
      <c r="AA252" s="272" cm="1">
        <f t="array" ref="AA252">_xlfn.IFS(AND(U252="y",$D252="Local"), 1, AND(U252="y",$D252&lt;&gt;"Local"),18.3998538156536%, U252="","")</f>
        <v>0.183998538156536</v>
      </c>
      <c r="AB252" s="68">
        <f t="shared" si="37"/>
        <v>1.0000000000000004</v>
      </c>
      <c r="AD252" s="306">
        <f t="shared" si="38"/>
        <v>1356.2950487024327</v>
      </c>
      <c r="AE252" s="242">
        <f t="shared" si="39"/>
        <v>18892.011077052797</v>
      </c>
      <c r="AF252" s="242">
        <f t="shared" si="40"/>
        <v>27624.667540345665</v>
      </c>
      <c r="AG252" s="242">
        <f t="shared" si="41"/>
        <v>26399.960831753684</v>
      </c>
      <c r="AH252" s="352">
        <f t="shared" si="42"/>
        <v>16747.655502145411</v>
      </c>
    </row>
    <row r="253" spans="2:34">
      <c r="B253" s="166" t="s">
        <v>381</v>
      </c>
      <c r="C253" s="150"/>
      <c r="D253" s="150" t="s">
        <v>118</v>
      </c>
      <c r="E253" s="150" t="s">
        <v>141</v>
      </c>
      <c r="F253" s="150" t="s">
        <v>804</v>
      </c>
      <c r="G253" s="146">
        <v>56000</v>
      </c>
      <c r="H253" s="155">
        <v>1600</v>
      </c>
      <c r="I253" s="135">
        <f t="shared" si="43"/>
        <v>45</v>
      </c>
      <c r="J253" s="147">
        <v>128000</v>
      </c>
      <c r="K253" s="155">
        <v>1578.56910832783</v>
      </c>
      <c r="L253" s="88">
        <f t="shared" si="44"/>
        <v>65.830991783489679</v>
      </c>
      <c r="M253" s="160">
        <v>103918.77</v>
      </c>
      <c r="N253" s="167">
        <v>2016</v>
      </c>
      <c r="O253" s="167">
        <f>IFERROR(('General Input Sheet'!$G$38/(VLOOKUP(N253,'General Input Sheet'!$E$38:$G$44,3,FALSE))),1)</f>
        <v>1</v>
      </c>
      <c r="P253" s="189">
        <f t="shared" si="36"/>
        <v>231918.77000000002</v>
      </c>
      <c r="Q253" s="89" t="str">
        <f t="shared" si="45"/>
        <v>y</v>
      </c>
      <c r="R253" s="89" t="str">
        <f t="shared" si="45"/>
        <v>y</v>
      </c>
      <c r="S253" s="89" t="str">
        <f t="shared" si="45"/>
        <v>y</v>
      </c>
      <c r="T253" s="89" t="str">
        <f t="shared" si="45"/>
        <v>y</v>
      </c>
      <c r="U253" s="254" t="str">
        <f t="shared" si="45"/>
        <v>y</v>
      </c>
      <c r="V253" s="308"/>
      <c r="W253" s="309" cm="1">
        <f t="array" ref="W253">_xlfn.IFS(AND(Q253="y",$D253="Local"), 1, AND(Q253="y",$D253&lt;&gt;"Local"),1.49009696454663%, Q253="","")</f>
        <v>1.49009696454663E-2</v>
      </c>
      <c r="X253" s="272" cm="1">
        <f t="array" ref="X253">_xlfn.IFS(AND(R253="y",$D253="Local"), 1, AND(R253="y",$D253&lt;&gt;"Local"),20.7557554582461%, R253="","")</f>
        <v>0.207557554582461</v>
      </c>
      <c r="Y253" s="272" cm="1">
        <f t="array" ref="Y253">_xlfn.IFS(AND(S253="y",$D253="Local"), 1, AND(S253="y",$D253&lt;&gt;"Local"),30.3499104327336%, S253="","")</f>
        <v>0.30349910432733601</v>
      </c>
      <c r="Z253" s="272" cm="1">
        <f t="array" ref="Z253">_xlfn.IFS(AND(T253="y",$D253="Local"), 1, AND(T253="y",$D253&lt;&gt;"Local"),29.0043833288201%, T253="","")</f>
        <v>0.29004383328820099</v>
      </c>
      <c r="AA253" s="272" cm="1">
        <f t="array" ref="AA253">_xlfn.IFS(AND(U253="y",$D253="Local"), 1, AND(U253="y",$D253&lt;&gt;"Local"),18.3998538156536%, U253="","")</f>
        <v>0.183998538156536</v>
      </c>
      <c r="AB253" s="68">
        <f t="shared" si="37"/>
        <v>1.0000000000000004</v>
      </c>
      <c r="AD253" s="306">
        <f t="shared" si="38"/>
        <v>3455.814551983879</v>
      </c>
      <c r="AE253" s="242">
        <f t="shared" si="39"/>
        <v>48136.492762972201</v>
      </c>
      <c r="AF253" s="242">
        <f t="shared" si="40"/>
        <v>70387.138971697423</v>
      </c>
      <c r="AG253" s="242">
        <f t="shared" si="41"/>
        <v>67266.60906228461</v>
      </c>
      <c r="AH253" s="352">
        <f t="shared" si="42"/>
        <v>42672.714651061877</v>
      </c>
    </row>
    <row r="254" spans="2:34">
      <c r="B254" s="166" t="s">
        <v>382</v>
      </c>
      <c r="C254" s="150"/>
      <c r="D254" s="150" t="s">
        <v>118</v>
      </c>
      <c r="E254" s="150" t="s">
        <v>143</v>
      </c>
      <c r="F254" s="150" t="s">
        <v>805</v>
      </c>
      <c r="G254" s="146"/>
      <c r="H254" s="155"/>
      <c r="I254" s="135">
        <f t="shared" si="43"/>
        <v>0</v>
      </c>
      <c r="J254" s="147"/>
      <c r="K254" s="155">
        <v>334.86782756176302</v>
      </c>
      <c r="L254" s="88">
        <f t="shared" si="44"/>
        <v>0.87300115430193359</v>
      </c>
      <c r="M254" s="160">
        <v>292.33999999999997</v>
      </c>
      <c r="N254" s="167">
        <v>2016</v>
      </c>
      <c r="O254" s="167">
        <f>IFERROR(('General Input Sheet'!$G$38/(VLOOKUP(N254,'General Input Sheet'!$E$38:$G$44,3,FALSE))),1)</f>
        <v>1</v>
      </c>
      <c r="P254" s="189">
        <f t="shared" si="36"/>
        <v>292.33999999999997</v>
      </c>
      <c r="Q254" s="89" t="str">
        <f t="shared" si="45"/>
        <v>y</v>
      </c>
      <c r="R254" s="89" t="str">
        <f t="shared" si="45"/>
        <v>y</v>
      </c>
      <c r="S254" s="89" t="str">
        <f t="shared" si="45"/>
        <v>y</v>
      </c>
      <c r="T254" s="89" t="str">
        <f t="shared" si="45"/>
        <v>y</v>
      </c>
      <c r="U254" s="254" t="str">
        <f t="shared" si="45"/>
        <v>y</v>
      </c>
      <c r="V254" s="308"/>
      <c r="W254" s="309" cm="1">
        <f t="array" ref="W254">_xlfn.IFS(AND(Q254="y",$D254="Local"), 1, AND(Q254="y",$D254&lt;&gt;"Local"),1.49009696454663%, Q254="","")</f>
        <v>1.49009696454663E-2</v>
      </c>
      <c r="X254" s="272" cm="1">
        <f t="array" ref="X254">_xlfn.IFS(AND(R254="y",$D254="Local"), 1, AND(R254="y",$D254&lt;&gt;"Local"),20.7557554582461%, R254="","")</f>
        <v>0.207557554582461</v>
      </c>
      <c r="Y254" s="272" cm="1">
        <f t="array" ref="Y254">_xlfn.IFS(AND(S254="y",$D254="Local"), 1, AND(S254="y",$D254&lt;&gt;"Local"),30.3499104327336%, S254="","")</f>
        <v>0.30349910432733601</v>
      </c>
      <c r="Z254" s="272" cm="1">
        <f t="array" ref="Z254">_xlfn.IFS(AND(T254="y",$D254="Local"), 1, AND(T254="y",$D254&lt;&gt;"Local"),29.0043833288201%, T254="","")</f>
        <v>0.29004383328820099</v>
      </c>
      <c r="AA254" s="272" cm="1">
        <f t="array" ref="AA254">_xlfn.IFS(AND(U254="y",$D254="Local"), 1, AND(U254="y",$D254&lt;&gt;"Local"),18.3998538156536%, U254="","")</f>
        <v>0.183998538156536</v>
      </c>
      <c r="AB254" s="68">
        <f t="shared" si="37"/>
        <v>1.0000000000000004</v>
      </c>
      <c r="AD254" s="306">
        <f t="shared" si="38"/>
        <v>4.3561494661556157</v>
      </c>
      <c r="AE254" s="242">
        <f t="shared" si="39"/>
        <v>60.677375506636622</v>
      </c>
      <c r="AF254" s="242">
        <f t="shared" si="40"/>
        <v>88.724928159053363</v>
      </c>
      <c r="AG254" s="242">
        <f t="shared" si="41"/>
        <v>84.791414223472643</v>
      </c>
      <c r="AH254" s="352">
        <f t="shared" si="42"/>
        <v>53.790132644681705</v>
      </c>
    </row>
    <row r="255" spans="2:34">
      <c r="B255" s="166" t="s">
        <v>383</v>
      </c>
      <c r="C255" s="150"/>
      <c r="D255" s="150" t="s">
        <v>117</v>
      </c>
      <c r="E255" s="150" t="s">
        <v>141</v>
      </c>
      <c r="F255" s="150" t="s">
        <v>806</v>
      </c>
      <c r="G255" s="146"/>
      <c r="H255" s="155"/>
      <c r="I255" s="135">
        <f t="shared" si="43"/>
        <v>0</v>
      </c>
      <c r="J255" s="147"/>
      <c r="K255" s="155">
        <v>11.289139926641701</v>
      </c>
      <c r="L255" s="88">
        <f t="shared" si="44"/>
        <v>219.42592758143783</v>
      </c>
      <c r="M255" s="160">
        <v>2477.13</v>
      </c>
      <c r="N255" s="167">
        <v>2016</v>
      </c>
      <c r="O255" s="167">
        <f>IFERROR(('General Input Sheet'!$G$38/(VLOOKUP(N255,'General Input Sheet'!$E$38:$G$44,3,FALSE))),1)</f>
        <v>1</v>
      </c>
      <c r="P255" s="189">
        <f t="shared" si="36"/>
        <v>2477.13</v>
      </c>
      <c r="Q255" s="89" t="str">
        <f t="shared" si="45"/>
        <v>y</v>
      </c>
      <c r="R255" s="89" t="str">
        <f t="shared" si="45"/>
        <v>y</v>
      </c>
      <c r="S255" s="89" t="str">
        <f t="shared" si="45"/>
        <v>y</v>
      </c>
      <c r="T255" s="89" t="str">
        <f t="shared" si="45"/>
        <v>y</v>
      </c>
      <c r="U255" s="254" t="str">
        <f t="shared" si="45"/>
        <v>y</v>
      </c>
      <c r="V255" s="308"/>
      <c r="W255" s="309" cm="1">
        <f t="array" ref="W255">_xlfn.IFS(AND(Q255="y",$D255="Local"), 1, AND(Q255="y",$D255&lt;&gt;"Local"),1.49009696454663%, Q255="","")</f>
        <v>1.49009696454663E-2</v>
      </c>
      <c r="X255" s="272" cm="1">
        <f t="array" ref="X255">_xlfn.IFS(AND(R255="y",$D255="Local"), 1, AND(R255="y",$D255&lt;&gt;"Local"),20.7557554582461%, R255="","")</f>
        <v>0.207557554582461</v>
      </c>
      <c r="Y255" s="272" cm="1">
        <f t="array" ref="Y255">_xlfn.IFS(AND(S255="y",$D255="Local"), 1, AND(S255="y",$D255&lt;&gt;"Local"),30.3499104327336%, S255="","")</f>
        <v>0.30349910432733601</v>
      </c>
      <c r="Z255" s="272" cm="1">
        <f t="array" ref="Z255">_xlfn.IFS(AND(T255="y",$D255="Local"), 1, AND(T255="y",$D255&lt;&gt;"Local"),29.0043833288201%, T255="","")</f>
        <v>0.29004383328820099</v>
      </c>
      <c r="AA255" s="272" cm="1">
        <f t="array" ref="AA255">_xlfn.IFS(AND(U255="y",$D255="Local"), 1, AND(U255="y",$D255&lt;&gt;"Local"),18.3998538156536%, U255="","")</f>
        <v>0.183998538156536</v>
      </c>
      <c r="AB255" s="68">
        <f t="shared" si="37"/>
        <v>1.0000000000000004</v>
      </c>
      <c r="AD255" s="306">
        <f t="shared" si="38"/>
        <v>36.911638937873924</v>
      </c>
      <c r="AE255" s="242">
        <f t="shared" si="39"/>
        <v>514.14704518285146</v>
      </c>
      <c r="AF255" s="242">
        <f t="shared" si="40"/>
        <v>751.80673630237357</v>
      </c>
      <c r="AG255" s="242">
        <f t="shared" si="41"/>
        <v>718.47628075320108</v>
      </c>
      <c r="AH255" s="352">
        <f t="shared" si="42"/>
        <v>455.78829882369985</v>
      </c>
    </row>
    <row r="256" spans="2:34">
      <c r="B256" s="166" t="s">
        <v>384</v>
      </c>
      <c r="C256" s="150"/>
      <c r="D256" s="150" t="s">
        <v>116</v>
      </c>
      <c r="E256" s="150" t="s">
        <v>141</v>
      </c>
      <c r="F256" s="150" t="s">
        <v>807</v>
      </c>
      <c r="G256" s="146"/>
      <c r="H256" s="155"/>
      <c r="I256" s="135">
        <f t="shared" si="43"/>
        <v>0</v>
      </c>
      <c r="J256" s="147"/>
      <c r="K256" s="155">
        <v>1326.1593276435799</v>
      </c>
      <c r="L256" s="88">
        <f t="shared" si="44"/>
        <v>144.81358762618791</v>
      </c>
      <c r="M256" s="160">
        <v>192045.89</v>
      </c>
      <c r="N256" s="167">
        <v>2016</v>
      </c>
      <c r="O256" s="167">
        <f>IFERROR(('General Input Sheet'!$G$38/(VLOOKUP(N256,'General Input Sheet'!$E$38:$G$44,3,FALSE))),1)</f>
        <v>1</v>
      </c>
      <c r="P256" s="189">
        <f t="shared" si="36"/>
        <v>192045.89</v>
      </c>
      <c r="Q256" s="89" t="str">
        <f t="shared" si="45"/>
        <v/>
      </c>
      <c r="R256" s="89" t="str">
        <f t="shared" si="45"/>
        <v/>
      </c>
      <c r="S256" s="89" t="str">
        <f t="shared" si="45"/>
        <v>y</v>
      </c>
      <c r="T256" s="89" t="str">
        <f t="shared" si="45"/>
        <v/>
      </c>
      <c r="U256" s="254" t="str">
        <f t="shared" si="45"/>
        <v/>
      </c>
      <c r="V256" s="308"/>
      <c r="W256" s="309" t="str" cm="1">
        <f t="array" ref="W256">_xlfn.IFS(AND(Q256="y",$D256="Local"), 1, AND(Q256="y",$D256&lt;&gt;"Local"),1.49009696454663%, Q256="","")</f>
        <v/>
      </c>
      <c r="X256" s="272" t="str" cm="1">
        <f t="array" ref="X256">_xlfn.IFS(AND(R256="y",$D256="Local"), 1, AND(R256="y",$D256&lt;&gt;"Local"),20.7557554582461%, R256="","")</f>
        <v/>
      </c>
      <c r="Y256" s="272" cm="1">
        <f t="array" ref="Y256">_xlfn.IFS(AND(S256="y",$D256="Local"), 1, AND(S256="y",$D256&lt;&gt;"Local"),30.3499104327336%, S256="","")</f>
        <v>1</v>
      </c>
      <c r="Z256" s="272" t="str" cm="1">
        <f t="array" ref="Z256">_xlfn.IFS(AND(T256="y",$D256="Local"), 1, AND(T256="y",$D256&lt;&gt;"Local"),29.0043833288201%, T256="","")</f>
        <v/>
      </c>
      <c r="AA256" s="272" t="str" cm="1">
        <f t="array" ref="AA256">_xlfn.IFS(AND(U256="y",$D256="Local"), 1, AND(U256="y",$D256&lt;&gt;"Local"),18.3998538156536%, U256="","")</f>
        <v/>
      </c>
      <c r="AB256" s="68">
        <f t="shared" si="37"/>
        <v>1</v>
      </c>
      <c r="AD256" s="306" t="str">
        <f t="shared" si="38"/>
        <v/>
      </c>
      <c r="AE256" s="242" t="str">
        <f t="shared" si="39"/>
        <v/>
      </c>
      <c r="AF256" s="242">
        <f t="shared" si="40"/>
        <v>192045.89</v>
      </c>
      <c r="AG256" s="242" t="str">
        <f t="shared" si="41"/>
        <v/>
      </c>
      <c r="AH256" s="352" t="str">
        <f t="shared" si="42"/>
        <v/>
      </c>
    </row>
    <row r="257" spans="2:34">
      <c r="B257" s="166" t="s">
        <v>385</v>
      </c>
      <c r="C257" s="150"/>
      <c r="D257" s="150" t="s">
        <v>118</v>
      </c>
      <c r="E257" s="150" t="s">
        <v>140</v>
      </c>
      <c r="F257" s="150" t="s">
        <v>808</v>
      </c>
      <c r="G257" s="146"/>
      <c r="H257" s="155"/>
      <c r="I257" s="135">
        <f t="shared" si="43"/>
        <v>0</v>
      </c>
      <c r="J257" s="147"/>
      <c r="K257" s="155">
        <v>316.52470902830601</v>
      </c>
      <c r="L257" s="88">
        <f t="shared" si="44"/>
        <v>413.51349915717037</v>
      </c>
      <c r="M257" s="160">
        <v>130887.24</v>
      </c>
      <c r="N257" s="167">
        <v>2016</v>
      </c>
      <c r="O257" s="167">
        <f>IFERROR(('General Input Sheet'!$G$38/(VLOOKUP(N257,'General Input Sheet'!$E$38:$G$44,3,FALSE))),1)</f>
        <v>1</v>
      </c>
      <c r="P257" s="189">
        <f t="shared" si="36"/>
        <v>130887.24</v>
      </c>
      <c r="Q257" s="89" t="str">
        <f t="shared" si="45"/>
        <v>y</v>
      </c>
      <c r="R257" s="89" t="str">
        <f t="shared" si="45"/>
        <v>y</v>
      </c>
      <c r="S257" s="89" t="str">
        <f t="shared" si="45"/>
        <v>y</v>
      </c>
      <c r="T257" s="89" t="str">
        <f t="shared" si="45"/>
        <v>y</v>
      </c>
      <c r="U257" s="254" t="str">
        <f t="shared" si="45"/>
        <v>y</v>
      </c>
      <c r="V257" s="308"/>
      <c r="W257" s="309" cm="1">
        <f t="array" ref="W257">_xlfn.IFS(AND(Q257="y",$D257="Local"), 1, AND(Q257="y",$D257&lt;&gt;"Local"),1.49009696454663%, Q257="","")</f>
        <v>1.49009696454663E-2</v>
      </c>
      <c r="X257" s="272" cm="1">
        <f t="array" ref="X257">_xlfn.IFS(AND(R257="y",$D257="Local"), 1, AND(R257="y",$D257&lt;&gt;"Local"),20.7557554582461%, R257="","")</f>
        <v>0.207557554582461</v>
      </c>
      <c r="Y257" s="272" cm="1">
        <f t="array" ref="Y257">_xlfn.IFS(AND(S257="y",$D257="Local"), 1, AND(S257="y",$D257&lt;&gt;"Local"),30.3499104327336%, S257="","")</f>
        <v>0.30349910432733601</v>
      </c>
      <c r="Z257" s="272" cm="1">
        <f t="array" ref="Z257">_xlfn.IFS(AND(T257="y",$D257="Local"), 1, AND(T257="y",$D257&lt;&gt;"Local"),29.0043833288201%, T257="","")</f>
        <v>0.29004383328820099</v>
      </c>
      <c r="AA257" s="272" cm="1">
        <f t="array" ref="AA257">_xlfn.IFS(AND(U257="y",$D257="Local"), 1, AND(U257="y",$D257&lt;&gt;"Local"),18.3998538156536%, U257="","")</f>
        <v>0.183998538156536</v>
      </c>
      <c r="AB257" s="68">
        <f t="shared" si="37"/>
        <v>1.0000000000000004</v>
      </c>
      <c r="AD257" s="306">
        <f t="shared" si="38"/>
        <v>1950.3467902188618</v>
      </c>
      <c r="AE257" s="242">
        <f t="shared" si="39"/>
        <v>27166.635460447662</v>
      </c>
      <c r="AF257" s="242">
        <f t="shared" si="40"/>
        <v>39724.160107877055</v>
      </c>
      <c r="AG257" s="242">
        <f t="shared" si="41"/>
        <v>37963.036818112741</v>
      </c>
      <c r="AH257" s="352">
        <f t="shared" si="42"/>
        <v>24083.060823343676</v>
      </c>
    </row>
    <row r="258" spans="2:34">
      <c r="B258" s="166" t="s">
        <v>386</v>
      </c>
      <c r="C258" s="150"/>
      <c r="D258" s="150" t="s">
        <v>116</v>
      </c>
      <c r="E258" s="150" t="s">
        <v>140</v>
      </c>
      <c r="F258" s="150" t="s">
        <v>809</v>
      </c>
      <c r="G258" s="146"/>
      <c r="H258" s="155"/>
      <c r="I258" s="135">
        <f t="shared" si="43"/>
        <v>0</v>
      </c>
      <c r="J258" s="147"/>
      <c r="K258" s="155">
        <v>595.783373148544</v>
      </c>
      <c r="L258" s="88">
        <f t="shared" si="44"/>
        <v>522.92496575315238</v>
      </c>
      <c r="M258" s="160">
        <v>311550</v>
      </c>
      <c r="N258" s="167">
        <v>2016</v>
      </c>
      <c r="O258" s="167">
        <f>IFERROR(('General Input Sheet'!$G$38/(VLOOKUP(N258,'General Input Sheet'!$E$38:$G$44,3,FALSE))),1)</f>
        <v>1</v>
      </c>
      <c r="P258" s="189">
        <f t="shared" si="36"/>
        <v>311550</v>
      </c>
      <c r="Q258" s="89" t="str">
        <f t="shared" si="45"/>
        <v/>
      </c>
      <c r="R258" s="89" t="str">
        <f t="shared" si="45"/>
        <v>y</v>
      </c>
      <c r="S258" s="89" t="str">
        <f t="shared" si="45"/>
        <v/>
      </c>
      <c r="T258" s="89" t="str">
        <f t="shared" si="45"/>
        <v/>
      </c>
      <c r="U258" s="254" t="str">
        <f t="shared" si="45"/>
        <v/>
      </c>
      <c r="V258" s="308"/>
      <c r="W258" s="309" t="str" cm="1">
        <f t="array" ref="W258">_xlfn.IFS(AND(Q258="y",$D258="Local"), 1, AND(Q258="y",$D258&lt;&gt;"Local"),1.49009696454663%, Q258="","")</f>
        <v/>
      </c>
      <c r="X258" s="272" cm="1">
        <f t="array" ref="X258">_xlfn.IFS(AND(R258="y",$D258="Local"), 1, AND(R258="y",$D258&lt;&gt;"Local"),20.7557554582461%, R258="","")</f>
        <v>1</v>
      </c>
      <c r="Y258" s="272" t="str" cm="1">
        <f t="array" ref="Y258">_xlfn.IFS(AND(S258="y",$D258="Local"), 1, AND(S258="y",$D258&lt;&gt;"Local"),30.3499104327336%, S258="","")</f>
        <v/>
      </c>
      <c r="Z258" s="272" t="str" cm="1">
        <f t="array" ref="Z258">_xlfn.IFS(AND(T258="y",$D258="Local"), 1, AND(T258="y",$D258&lt;&gt;"Local"),29.0043833288201%, T258="","")</f>
        <v/>
      </c>
      <c r="AA258" s="272" t="str" cm="1">
        <f t="array" ref="AA258">_xlfn.IFS(AND(U258="y",$D258="Local"), 1, AND(U258="y",$D258&lt;&gt;"Local"),18.3998538156536%, U258="","")</f>
        <v/>
      </c>
      <c r="AB258" s="68">
        <f t="shared" si="37"/>
        <v>1</v>
      </c>
      <c r="AD258" s="306" t="str">
        <f t="shared" si="38"/>
        <v/>
      </c>
      <c r="AE258" s="242">
        <f t="shared" si="39"/>
        <v>311550</v>
      </c>
      <c r="AF258" s="242" t="str">
        <f t="shared" si="40"/>
        <v/>
      </c>
      <c r="AG258" s="242" t="str">
        <f t="shared" si="41"/>
        <v/>
      </c>
      <c r="AH258" s="352" t="str">
        <f t="shared" si="42"/>
        <v/>
      </c>
    </row>
    <row r="259" spans="2:34">
      <c r="B259" s="166" t="s">
        <v>387</v>
      </c>
      <c r="C259" s="150"/>
      <c r="D259" s="150" t="s">
        <v>118</v>
      </c>
      <c r="E259" s="150" t="s">
        <v>141</v>
      </c>
      <c r="F259" s="150" t="s">
        <v>810</v>
      </c>
      <c r="G259" s="146"/>
      <c r="H259" s="155"/>
      <c r="I259" s="135">
        <f t="shared" si="43"/>
        <v>0</v>
      </c>
      <c r="J259" s="147"/>
      <c r="K259" s="155">
        <v>503.55707021264698</v>
      </c>
      <c r="L259" s="88">
        <f t="shared" si="44"/>
        <v>564.48054612750229</v>
      </c>
      <c r="M259" s="160">
        <v>284248.17</v>
      </c>
      <c r="N259" s="167">
        <v>2016</v>
      </c>
      <c r="O259" s="167">
        <f>IFERROR(('General Input Sheet'!$G$38/(VLOOKUP(N259,'General Input Sheet'!$E$38:$G$44,3,FALSE))),1)</f>
        <v>1</v>
      </c>
      <c r="P259" s="189">
        <f t="shared" si="36"/>
        <v>284248.17</v>
      </c>
      <c r="Q259" s="89" t="str">
        <f t="shared" si="45"/>
        <v>y</v>
      </c>
      <c r="R259" s="89" t="str">
        <f t="shared" si="45"/>
        <v>y</v>
      </c>
      <c r="S259" s="89" t="str">
        <f t="shared" si="45"/>
        <v>y</v>
      </c>
      <c r="T259" s="89" t="str">
        <f t="shared" si="45"/>
        <v>y</v>
      </c>
      <c r="U259" s="254" t="str">
        <f t="shared" si="45"/>
        <v>y</v>
      </c>
      <c r="V259" s="308"/>
      <c r="W259" s="309" cm="1">
        <f t="array" ref="W259">_xlfn.IFS(AND(Q259="y",$D259="Local"), 1, AND(Q259="y",$D259&lt;&gt;"Local"),1.49009696454663%, Q259="","")</f>
        <v>1.49009696454663E-2</v>
      </c>
      <c r="X259" s="272" cm="1">
        <f t="array" ref="X259">_xlfn.IFS(AND(R259="y",$D259="Local"), 1, AND(R259="y",$D259&lt;&gt;"Local"),20.7557554582461%, R259="","")</f>
        <v>0.207557554582461</v>
      </c>
      <c r="Y259" s="272" cm="1">
        <f t="array" ref="Y259">_xlfn.IFS(AND(S259="y",$D259="Local"), 1, AND(S259="y",$D259&lt;&gt;"Local"),30.3499104327336%, S259="","")</f>
        <v>0.30349910432733601</v>
      </c>
      <c r="Z259" s="272" cm="1">
        <f t="array" ref="Z259">_xlfn.IFS(AND(T259="y",$D259="Local"), 1, AND(T259="y",$D259&lt;&gt;"Local"),29.0043833288201%, T259="","")</f>
        <v>0.29004383328820099</v>
      </c>
      <c r="AA259" s="272" cm="1">
        <f t="array" ref="AA259">_xlfn.IFS(AND(U259="y",$D259="Local"), 1, AND(U259="y",$D259&lt;&gt;"Local"),18.3998538156536%, U259="","")</f>
        <v>0.183998538156536</v>
      </c>
      <c r="AB259" s="68">
        <f t="shared" si="37"/>
        <v>1.0000000000000004</v>
      </c>
      <c r="AD259" s="306">
        <f t="shared" si="38"/>
        <v>4235.5733529493427</v>
      </c>
      <c r="AE259" s="242">
        <f t="shared" si="39"/>
        <v>58997.855059739624</v>
      </c>
      <c r="AF259" s="242">
        <f t="shared" si="40"/>
        <v>86269.065001684299</v>
      </c>
      <c r="AG259" s="242">
        <f t="shared" si="41"/>
        <v>82444.428831956175</v>
      </c>
      <c r="AH259" s="352">
        <f t="shared" si="42"/>
        <v>52301.247753670505</v>
      </c>
    </row>
    <row r="260" spans="2:34">
      <c r="B260" s="166" t="s">
        <v>388</v>
      </c>
      <c r="C260" s="150"/>
      <c r="D260" s="150" t="s">
        <v>118</v>
      </c>
      <c r="E260" s="150" t="s">
        <v>143</v>
      </c>
      <c r="F260" s="150" t="s">
        <v>811</v>
      </c>
      <c r="G260" s="146">
        <v>56000</v>
      </c>
      <c r="H260" s="155">
        <v>1680</v>
      </c>
      <c r="I260" s="135">
        <f t="shared" si="43"/>
        <v>45</v>
      </c>
      <c r="J260" s="147">
        <v>131600</v>
      </c>
      <c r="K260" s="155">
        <v>822.26087493585396</v>
      </c>
      <c r="L260" s="88">
        <f t="shared" si="44"/>
        <v>442.74270015388993</v>
      </c>
      <c r="M260" s="160">
        <v>364050</v>
      </c>
      <c r="N260" s="167">
        <v>2016</v>
      </c>
      <c r="O260" s="167">
        <f>IFERROR(('General Input Sheet'!$G$38/(VLOOKUP(N260,'General Input Sheet'!$E$38:$G$44,3,FALSE))),1)</f>
        <v>1</v>
      </c>
      <c r="P260" s="186">
        <f t="shared" si="36"/>
        <v>495650</v>
      </c>
      <c r="Q260" s="89" t="str">
        <f t="shared" si="45"/>
        <v>y</v>
      </c>
      <c r="R260" s="89" t="str">
        <f t="shared" si="45"/>
        <v>y</v>
      </c>
      <c r="S260" s="89" t="str">
        <f t="shared" si="45"/>
        <v>y</v>
      </c>
      <c r="T260" s="89" t="str">
        <f t="shared" si="45"/>
        <v>y</v>
      </c>
      <c r="U260" s="254" t="str">
        <f t="shared" si="45"/>
        <v>y</v>
      </c>
      <c r="V260" s="308"/>
      <c r="W260" s="309" cm="1">
        <f t="array" ref="W260">_xlfn.IFS(AND(Q260="y",$D260="Local"), 1, AND(Q260="y",$D260&lt;&gt;"Local"),1.49009696454663%, Q260="","")</f>
        <v>1.49009696454663E-2</v>
      </c>
      <c r="X260" s="272" cm="1">
        <f t="array" ref="X260">_xlfn.IFS(AND(R260="y",$D260="Local"), 1, AND(R260="y",$D260&lt;&gt;"Local"),20.7557554582461%, R260="","")</f>
        <v>0.207557554582461</v>
      </c>
      <c r="Y260" s="272" cm="1">
        <f t="array" ref="Y260">_xlfn.IFS(AND(S260="y",$D260="Local"), 1, AND(S260="y",$D260&lt;&gt;"Local"),30.3499104327336%, S260="","")</f>
        <v>0.30349910432733601</v>
      </c>
      <c r="Z260" s="272" cm="1">
        <f t="array" ref="Z260">_xlfn.IFS(AND(T260="y",$D260="Local"), 1, AND(T260="y",$D260&lt;&gt;"Local"),29.0043833288201%, T260="","")</f>
        <v>0.29004383328820099</v>
      </c>
      <c r="AA260" s="272" cm="1">
        <f t="array" ref="AA260">_xlfn.IFS(AND(U260="y",$D260="Local"), 1, AND(U260="y",$D260&lt;&gt;"Local"),18.3998538156536%, U260="","")</f>
        <v>0.183998538156536</v>
      </c>
      <c r="AB260" s="68">
        <f t="shared" si="37"/>
        <v>1.0000000000000004</v>
      </c>
      <c r="AD260" s="306">
        <f t="shared" si="38"/>
        <v>7385.6656047753686</v>
      </c>
      <c r="AE260" s="242">
        <f t="shared" si="39"/>
        <v>102875.90192879675</v>
      </c>
      <c r="AF260" s="242">
        <f t="shared" si="40"/>
        <v>150429.33105984403</v>
      </c>
      <c r="AG260" s="242">
        <f t="shared" si="41"/>
        <v>143760.22596929676</v>
      </c>
      <c r="AH260" s="352">
        <f t="shared" si="42"/>
        <v>91198.875437287032</v>
      </c>
    </row>
    <row r="261" spans="2:34">
      <c r="B261" s="166" t="s">
        <v>389</v>
      </c>
      <c r="C261" s="150"/>
      <c r="D261" s="150" t="s">
        <v>118</v>
      </c>
      <c r="E261" s="150" t="s">
        <v>141</v>
      </c>
      <c r="F261" s="150" t="s">
        <v>812</v>
      </c>
      <c r="G261" s="146">
        <v>56000</v>
      </c>
      <c r="H261" s="155">
        <v>5000</v>
      </c>
      <c r="I261" s="135">
        <f t="shared" si="43"/>
        <v>45</v>
      </c>
      <c r="J261" s="147">
        <v>281000</v>
      </c>
      <c r="K261" s="155">
        <v>9753.7380004384995</v>
      </c>
      <c r="L261" s="88">
        <f t="shared" si="44"/>
        <v>16.822430538181706</v>
      </c>
      <c r="M261" s="160">
        <v>164081.57999999999</v>
      </c>
      <c r="N261" s="167">
        <v>2016</v>
      </c>
      <c r="O261" s="167">
        <f>IFERROR(('General Input Sheet'!$G$38/(VLOOKUP(N261,'General Input Sheet'!$E$38:$G$44,3,FALSE))),1)</f>
        <v>1</v>
      </c>
      <c r="P261" s="189">
        <f t="shared" si="36"/>
        <v>445081.57999999996</v>
      </c>
      <c r="Q261" s="89" t="str">
        <f t="shared" si="45"/>
        <v>y</v>
      </c>
      <c r="R261" s="89" t="str">
        <f t="shared" si="45"/>
        <v>y</v>
      </c>
      <c r="S261" s="89" t="str">
        <f t="shared" si="45"/>
        <v>y</v>
      </c>
      <c r="T261" s="89" t="str">
        <f t="shared" si="45"/>
        <v>y</v>
      </c>
      <c r="U261" s="254" t="str">
        <f t="shared" si="45"/>
        <v>y</v>
      </c>
      <c r="V261" s="308"/>
      <c r="W261" s="309" cm="1">
        <f t="array" ref="W261">_xlfn.IFS(AND(Q261="y",$D261="Local"), 1, AND(Q261="y",$D261&lt;&gt;"Local"),1.49009696454663%, Q261="","")</f>
        <v>1.49009696454663E-2</v>
      </c>
      <c r="X261" s="272" cm="1">
        <f t="array" ref="X261">_xlfn.IFS(AND(R261="y",$D261="Local"), 1, AND(R261="y",$D261&lt;&gt;"Local"),20.7557554582461%, R261="","")</f>
        <v>0.207557554582461</v>
      </c>
      <c r="Y261" s="272" cm="1">
        <f t="array" ref="Y261">_xlfn.IFS(AND(S261="y",$D261="Local"), 1, AND(S261="y",$D261&lt;&gt;"Local"),30.3499104327336%, S261="","")</f>
        <v>0.30349910432733601</v>
      </c>
      <c r="Z261" s="272" cm="1">
        <f t="array" ref="Z261">_xlfn.IFS(AND(T261="y",$D261="Local"), 1, AND(T261="y",$D261&lt;&gt;"Local"),29.0043833288201%, T261="","")</f>
        <v>0.29004383328820099</v>
      </c>
      <c r="AA261" s="272" cm="1">
        <f t="array" ref="AA261">_xlfn.IFS(AND(U261="y",$D261="Local"), 1, AND(U261="y",$D261&lt;&gt;"Local"),18.3998538156536%, U261="","")</f>
        <v>0.183998538156536</v>
      </c>
      <c r="AB261" s="68">
        <f t="shared" si="37"/>
        <v>1.0000000000000004</v>
      </c>
      <c r="AD261" s="306">
        <f t="shared" si="38"/>
        <v>6632.1471133361774</v>
      </c>
      <c r="AE261" s="242">
        <f t="shared" si="39"/>
        <v>92380.044334497943</v>
      </c>
      <c r="AF261" s="242">
        <f t="shared" si="40"/>
        <v>135081.86088259547</v>
      </c>
      <c r="AG261" s="242">
        <f t="shared" si="41"/>
        <v>129093.16758916902</v>
      </c>
      <c r="AH261" s="352">
        <f t="shared" si="42"/>
        <v>81894.360080401282</v>
      </c>
    </row>
    <row r="262" spans="2:34">
      <c r="B262" s="166" t="s">
        <v>390</v>
      </c>
      <c r="C262" s="150"/>
      <c r="D262" s="150" t="s">
        <v>118</v>
      </c>
      <c r="E262" s="150" t="s">
        <v>140</v>
      </c>
      <c r="F262" s="150" t="s">
        <v>813</v>
      </c>
      <c r="G262" s="146">
        <v>56000</v>
      </c>
      <c r="H262" s="155">
        <v>405</v>
      </c>
      <c r="I262" s="135">
        <f t="shared" si="43"/>
        <v>45</v>
      </c>
      <c r="J262" s="147">
        <v>74225</v>
      </c>
      <c r="K262" s="155">
        <v>318.83031224631497</v>
      </c>
      <c r="L262" s="88">
        <f t="shared" si="44"/>
        <v>535.30901374316431</v>
      </c>
      <c r="M262" s="160">
        <v>170672.74</v>
      </c>
      <c r="N262" s="167">
        <v>2016</v>
      </c>
      <c r="O262" s="167">
        <f>IFERROR(('General Input Sheet'!$G$38/(VLOOKUP(N262,'General Input Sheet'!$E$38:$G$44,3,FALSE))),1)</f>
        <v>1</v>
      </c>
      <c r="P262" s="189">
        <f t="shared" si="36"/>
        <v>244897.74</v>
      </c>
      <c r="Q262" s="89" t="str">
        <f t="shared" si="45"/>
        <v>y</v>
      </c>
      <c r="R262" s="89" t="str">
        <f t="shared" si="45"/>
        <v>y</v>
      </c>
      <c r="S262" s="89" t="str">
        <f t="shared" si="45"/>
        <v>y</v>
      </c>
      <c r="T262" s="89" t="str">
        <f t="shared" si="45"/>
        <v>y</v>
      </c>
      <c r="U262" s="254" t="str">
        <f t="shared" si="45"/>
        <v>y</v>
      </c>
      <c r="V262" s="308"/>
      <c r="W262" s="309" cm="1">
        <f t="array" ref="W262">_xlfn.IFS(AND(Q262="y",$D262="Local"), 1, AND(Q262="y",$D262&lt;&gt;"Local"),1.49009696454663%, Q262="","")</f>
        <v>1.49009696454663E-2</v>
      </c>
      <c r="X262" s="272" cm="1">
        <f t="array" ref="X262">_xlfn.IFS(AND(R262="y",$D262="Local"), 1, AND(R262="y",$D262&lt;&gt;"Local"),20.7557554582461%, R262="","")</f>
        <v>0.207557554582461</v>
      </c>
      <c r="Y262" s="272" cm="1">
        <f t="array" ref="Y262">_xlfn.IFS(AND(S262="y",$D262="Local"), 1, AND(S262="y",$D262&lt;&gt;"Local"),30.3499104327336%, S262="","")</f>
        <v>0.30349910432733601</v>
      </c>
      <c r="Z262" s="272" cm="1">
        <f t="array" ref="Z262">_xlfn.IFS(AND(T262="y",$D262="Local"), 1, AND(T262="y",$D262&lt;&gt;"Local"),29.0043833288201%, T262="","")</f>
        <v>0.29004383328820099</v>
      </c>
      <c r="AA262" s="272" cm="1">
        <f t="array" ref="AA262">_xlfn.IFS(AND(U262="y",$D262="Local"), 1, AND(U262="y",$D262&lt;&gt;"Local"),18.3998538156536%, U262="","")</f>
        <v>0.183998538156536</v>
      </c>
      <c r="AB262" s="68">
        <f t="shared" si="37"/>
        <v>1.0000000000000004</v>
      </c>
      <c r="AD262" s="306">
        <f t="shared" si="38"/>
        <v>3649.2137899832965</v>
      </c>
      <c r="AE262" s="242">
        <f t="shared" si="39"/>
        <v>50830.376037171322</v>
      </c>
      <c r="AF262" s="242">
        <f t="shared" si="40"/>
        <v>74326.244741788774</v>
      </c>
      <c r="AG262" s="242">
        <f t="shared" si="41"/>
        <v>71031.079273217169</v>
      </c>
      <c r="AH262" s="352">
        <f t="shared" si="42"/>
        <v>45060.826157839409</v>
      </c>
    </row>
    <row r="263" spans="2:34">
      <c r="B263" s="166" t="s">
        <v>391</v>
      </c>
      <c r="C263" s="150"/>
      <c r="D263" s="150" t="s">
        <v>118</v>
      </c>
      <c r="E263" s="150" t="s">
        <v>141</v>
      </c>
      <c r="F263" s="150" t="s">
        <v>814</v>
      </c>
      <c r="G263" s="146">
        <v>56000</v>
      </c>
      <c r="H263" s="155">
        <v>64620</v>
      </c>
      <c r="I263" s="135">
        <f t="shared" si="43"/>
        <v>45</v>
      </c>
      <c r="J263" s="147">
        <v>2963900</v>
      </c>
      <c r="K263" s="155">
        <v>599.40331600158197</v>
      </c>
      <c r="L263" s="88">
        <f t="shared" si="44"/>
        <v>461.69294131711086</v>
      </c>
      <c r="M263" s="160">
        <v>276740.28000000003</v>
      </c>
      <c r="N263" s="167">
        <v>2016</v>
      </c>
      <c r="O263" s="167">
        <f>IFERROR(('General Input Sheet'!$G$38/(VLOOKUP(N263,'General Input Sheet'!$E$38:$G$44,3,FALSE))),1)</f>
        <v>1</v>
      </c>
      <c r="P263" s="189">
        <f t="shared" si="36"/>
        <v>3240640.2800000003</v>
      </c>
      <c r="Q263" s="89" t="str">
        <f t="shared" si="45"/>
        <v>y</v>
      </c>
      <c r="R263" s="89" t="str">
        <f t="shared" si="45"/>
        <v>y</v>
      </c>
      <c r="S263" s="89" t="str">
        <f t="shared" si="45"/>
        <v>y</v>
      </c>
      <c r="T263" s="89" t="str">
        <f t="shared" si="45"/>
        <v>y</v>
      </c>
      <c r="U263" s="254" t="str">
        <f t="shared" si="45"/>
        <v>y</v>
      </c>
      <c r="V263" s="308"/>
      <c r="W263" s="309" cm="1">
        <f t="array" ref="W263">_xlfn.IFS(AND(Q263="y",$D263="Local"), 1, AND(Q263="y",$D263&lt;&gt;"Local"),1.49009696454663%, Q263="","")</f>
        <v>1.49009696454663E-2</v>
      </c>
      <c r="X263" s="272" cm="1">
        <f t="array" ref="X263">_xlfn.IFS(AND(R263="y",$D263="Local"), 1, AND(R263="y",$D263&lt;&gt;"Local"),20.7557554582461%, R263="","")</f>
        <v>0.207557554582461</v>
      </c>
      <c r="Y263" s="272" cm="1">
        <f t="array" ref="Y263">_xlfn.IFS(AND(S263="y",$D263="Local"), 1, AND(S263="y",$D263&lt;&gt;"Local"),30.3499104327336%, S263="","")</f>
        <v>0.30349910432733601</v>
      </c>
      <c r="Z263" s="272" cm="1">
        <f t="array" ref="Z263">_xlfn.IFS(AND(T263="y",$D263="Local"), 1, AND(T263="y",$D263&lt;&gt;"Local"),29.0043833288201%, T263="","")</f>
        <v>0.29004383328820099</v>
      </c>
      <c r="AA263" s="272" cm="1">
        <f t="array" ref="AA263">_xlfn.IFS(AND(U263="y",$D263="Local"), 1, AND(U263="y",$D263&lt;&gt;"Local"),18.3998538156536%, U263="","")</f>
        <v>0.183998538156536</v>
      </c>
      <c r="AB263" s="68">
        <f t="shared" si="37"/>
        <v>1.0000000000000004</v>
      </c>
      <c r="AD263" s="306">
        <f t="shared" si="38"/>
        <v>48288.682444155391</v>
      </c>
      <c r="AE263" s="242">
        <f t="shared" si="39"/>
        <v>672619.37179822149</v>
      </c>
      <c r="AF263" s="242">
        <f t="shared" si="40"/>
        <v>983531.42242708709</v>
      </c>
      <c r="AG263" s="242">
        <f t="shared" si="41"/>
        <v>939927.72911934869</v>
      </c>
      <c r="AH263" s="352">
        <f t="shared" si="42"/>
        <v>596273.07421118731</v>
      </c>
    </row>
    <row r="264" spans="2:34">
      <c r="B264" s="166" t="s">
        <v>392</v>
      </c>
      <c r="C264" s="150"/>
      <c r="D264" s="150" t="s">
        <v>118</v>
      </c>
      <c r="E264" s="150" t="s">
        <v>143</v>
      </c>
      <c r="F264" s="150" t="s">
        <v>815</v>
      </c>
      <c r="G264" s="146"/>
      <c r="H264" s="155"/>
      <c r="I264" s="135">
        <f t="shared" si="43"/>
        <v>0</v>
      </c>
      <c r="J264" s="147"/>
      <c r="K264" s="155">
        <v>823.42043317098296</v>
      </c>
      <c r="L264" s="88">
        <f t="shared" si="44"/>
        <v>442.11922043037902</v>
      </c>
      <c r="M264" s="160">
        <v>364050</v>
      </c>
      <c r="N264" s="167">
        <v>2016</v>
      </c>
      <c r="O264" s="167">
        <f>IFERROR(('General Input Sheet'!$G$38/(VLOOKUP(N264,'General Input Sheet'!$E$38:$G$44,3,FALSE))),1)</f>
        <v>1</v>
      </c>
      <c r="P264" s="189">
        <f t="shared" si="36"/>
        <v>364050</v>
      </c>
      <c r="Q264" s="89" t="str">
        <f t="shared" si="45"/>
        <v>y</v>
      </c>
      <c r="R264" s="89" t="str">
        <f t="shared" si="45"/>
        <v>y</v>
      </c>
      <c r="S264" s="89" t="str">
        <f t="shared" si="45"/>
        <v>y</v>
      </c>
      <c r="T264" s="89" t="str">
        <f t="shared" si="45"/>
        <v>y</v>
      </c>
      <c r="U264" s="254" t="str">
        <f t="shared" si="45"/>
        <v>y</v>
      </c>
      <c r="V264" s="308"/>
      <c r="W264" s="309" cm="1">
        <f t="array" ref="W264">_xlfn.IFS(AND(Q264="y",$D264="Local"), 1, AND(Q264="y",$D264&lt;&gt;"Local"),1.49009696454663%, Q264="","")</f>
        <v>1.49009696454663E-2</v>
      </c>
      <c r="X264" s="272" cm="1">
        <f t="array" ref="X264">_xlfn.IFS(AND(R264="y",$D264="Local"), 1, AND(R264="y",$D264&lt;&gt;"Local"),20.7557554582461%, R264="","")</f>
        <v>0.207557554582461</v>
      </c>
      <c r="Y264" s="272" cm="1">
        <f t="array" ref="Y264">_xlfn.IFS(AND(S264="y",$D264="Local"), 1, AND(S264="y",$D264&lt;&gt;"Local"),30.3499104327336%, S264="","")</f>
        <v>0.30349910432733601</v>
      </c>
      <c r="Z264" s="272" cm="1">
        <f t="array" ref="Z264">_xlfn.IFS(AND(T264="y",$D264="Local"), 1, AND(T264="y",$D264&lt;&gt;"Local"),29.0043833288201%, T264="","")</f>
        <v>0.29004383328820099</v>
      </c>
      <c r="AA264" s="272" cm="1">
        <f t="array" ref="AA264">_xlfn.IFS(AND(U264="y",$D264="Local"), 1, AND(U264="y",$D264&lt;&gt;"Local"),18.3998538156536%, U264="","")</f>
        <v>0.183998538156536</v>
      </c>
      <c r="AB264" s="68">
        <f t="shared" si="37"/>
        <v>1.0000000000000004</v>
      </c>
      <c r="AD264" s="306">
        <f t="shared" si="38"/>
        <v>5424.6979994320045</v>
      </c>
      <c r="AE264" s="242">
        <f t="shared" si="39"/>
        <v>75561.3277457449</v>
      </c>
      <c r="AF264" s="242">
        <f t="shared" si="40"/>
        <v>110488.84893036663</v>
      </c>
      <c r="AG264" s="242">
        <f t="shared" si="41"/>
        <v>105590.45750856953</v>
      </c>
      <c r="AH264" s="352">
        <f t="shared" si="42"/>
        <v>66984.667815886904</v>
      </c>
    </row>
    <row r="265" spans="2:34">
      <c r="B265" s="166" t="s">
        <v>393</v>
      </c>
      <c r="C265" s="150"/>
      <c r="D265" s="150" t="s">
        <v>118</v>
      </c>
      <c r="E265" s="150" t="s">
        <v>140</v>
      </c>
      <c r="F265" s="150" t="s">
        <v>816</v>
      </c>
      <c r="G265" s="146"/>
      <c r="H265" s="155"/>
      <c r="I265" s="135">
        <f t="shared" si="43"/>
        <v>0</v>
      </c>
      <c r="J265" s="147"/>
      <c r="K265" s="155">
        <v>510.61112285132901</v>
      </c>
      <c r="L265" s="88">
        <f t="shared" si="44"/>
        <v>455.88456573394467</v>
      </c>
      <c r="M265" s="160">
        <v>232779.73</v>
      </c>
      <c r="N265" s="167">
        <v>2016</v>
      </c>
      <c r="O265" s="167">
        <f>IFERROR(('General Input Sheet'!$G$38/(VLOOKUP(N265,'General Input Sheet'!$E$38:$G$44,3,FALSE))),1)</f>
        <v>1</v>
      </c>
      <c r="P265" s="189">
        <f t="shared" si="36"/>
        <v>232779.73</v>
      </c>
      <c r="Q265" s="89" t="str">
        <f t="shared" si="45"/>
        <v>y</v>
      </c>
      <c r="R265" s="89" t="str">
        <f t="shared" si="45"/>
        <v>y</v>
      </c>
      <c r="S265" s="89" t="str">
        <f t="shared" si="45"/>
        <v>y</v>
      </c>
      <c r="T265" s="89" t="str">
        <f t="shared" si="45"/>
        <v>y</v>
      </c>
      <c r="U265" s="254" t="str">
        <f t="shared" si="45"/>
        <v>y</v>
      </c>
      <c r="V265" s="308"/>
      <c r="W265" s="309" cm="1">
        <f t="array" ref="W265">_xlfn.IFS(AND(Q265="y",$D265="Local"), 1, AND(Q265="y",$D265&lt;&gt;"Local"),1.49009696454663%, Q265="","")</f>
        <v>1.49009696454663E-2</v>
      </c>
      <c r="X265" s="272" cm="1">
        <f t="array" ref="X265">_xlfn.IFS(AND(R265="y",$D265="Local"), 1, AND(R265="y",$D265&lt;&gt;"Local"),20.7557554582461%, R265="","")</f>
        <v>0.207557554582461</v>
      </c>
      <c r="Y265" s="272" cm="1">
        <f t="array" ref="Y265">_xlfn.IFS(AND(S265="y",$D265="Local"), 1, AND(S265="y",$D265&lt;&gt;"Local"),30.3499104327336%, S265="","")</f>
        <v>0.30349910432733601</v>
      </c>
      <c r="Z265" s="272" cm="1">
        <f t="array" ref="Z265">_xlfn.IFS(AND(T265="y",$D265="Local"), 1, AND(T265="y",$D265&lt;&gt;"Local"),29.0043833288201%, T265="","")</f>
        <v>0.29004383328820099</v>
      </c>
      <c r="AA265" s="272" cm="1">
        <f t="array" ref="AA265">_xlfn.IFS(AND(U265="y",$D265="Local"), 1, AND(U265="y",$D265&lt;&gt;"Local"),18.3998538156536%, U265="","")</f>
        <v>0.183998538156536</v>
      </c>
      <c r="AB265" s="68">
        <f t="shared" si="37"/>
        <v>1.0000000000000004</v>
      </c>
      <c r="AD265" s="306">
        <f t="shared" si="38"/>
        <v>3468.6436908098394</v>
      </c>
      <c r="AE265" s="242">
        <f t="shared" si="39"/>
        <v>48315.191515165519</v>
      </c>
      <c r="AF265" s="242">
        <f t="shared" si="40"/>
        <v>70648.439560559083</v>
      </c>
      <c r="AG265" s="242">
        <f t="shared" si="41"/>
        <v>67516.325200992418</v>
      </c>
      <c r="AH265" s="352">
        <f t="shared" si="42"/>
        <v>42831.130032473127</v>
      </c>
    </row>
    <row r="266" spans="2:34">
      <c r="B266" s="166" t="s">
        <v>394</v>
      </c>
      <c r="C266" s="150"/>
      <c r="D266" s="150" t="s">
        <v>116</v>
      </c>
      <c r="E266" s="150" t="s">
        <v>140</v>
      </c>
      <c r="F266" s="150" t="s">
        <v>817</v>
      </c>
      <c r="G266" s="146"/>
      <c r="H266" s="155"/>
      <c r="I266" s="135">
        <f t="shared" si="43"/>
        <v>0</v>
      </c>
      <c r="J266" s="147"/>
      <c r="K266" s="155">
        <v>1624.30994112644</v>
      </c>
      <c r="L266" s="88">
        <f t="shared" si="44"/>
        <v>32.013711597392849</v>
      </c>
      <c r="M266" s="160">
        <v>52000.19</v>
      </c>
      <c r="N266" s="167">
        <v>2016</v>
      </c>
      <c r="O266" s="167">
        <f>IFERROR(('General Input Sheet'!$G$38/(VLOOKUP(N266,'General Input Sheet'!$E$38:$G$44,3,FALSE))),1)</f>
        <v>1</v>
      </c>
      <c r="P266" s="189">
        <f t="shared" si="36"/>
        <v>52000.19</v>
      </c>
      <c r="Q266" s="89" t="str">
        <f t="shared" si="45"/>
        <v/>
      </c>
      <c r="R266" s="89" t="str">
        <f t="shared" si="45"/>
        <v>y</v>
      </c>
      <c r="S266" s="89" t="str">
        <f t="shared" si="45"/>
        <v/>
      </c>
      <c r="T266" s="89" t="str">
        <f t="shared" si="45"/>
        <v/>
      </c>
      <c r="U266" s="254" t="str">
        <f t="shared" si="45"/>
        <v/>
      </c>
      <c r="V266" s="308"/>
      <c r="W266" s="309" t="str" cm="1">
        <f t="array" ref="W266">_xlfn.IFS(AND(Q266="y",$D266="Local"), 1, AND(Q266="y",$D266&lt;&gt;"Local"),1.49009696454663%, Q266="","")</f>
        <v/>
      </c>
      <c r="X266" s="272" cm="1">
        <f t="array" ref="X266">_xlfn.IFS(AND(R266="y",$D266="Local"), 1, AND(R266="y",$D266&lt;&gt;"Local"),20.7557554582461%, R266="","")</f>
        <v>1</v>
      </c>
      <c r="Y266" s="272" t="str" cm="1">
        <f t="array" ref="Y266">_xlfn.IFS(AND(S266="y",$D266="Local"), 1, AND(S266="y",$D266&lt;&gt;"Local"),30.3499104327336%, S266="","")</f>
        <v/>
      </c>
      <c r="Z266" s="272" t="str" cm="1">
        <f t="array" ref="Z266">_xlfn.IFS(AND(T266="y",$D266="Local"), 1, AND(T266="y",$D266&lt;&gt;"Local"),29.0043833288201%, T266="","")</f>
        <v/>
      </c>
      <c r="AA266" s="272" t="str" cm="1">
        <f t="array" ref="AA266">_xlfn.IFS(AND(U266="y",$D266="Local"), 1, AND(U266="y",$D266&lt;&gt;"Local"),18.3998538156536%, U266="","")</f>
        <v/>
      </c>
      <c r="AB266" s="68">
        <f t="shared" si="37"/>
        <v>1</v>
      </c>
      <c r="AD266" s="306" t="str">
        <f t="shared" si="38"/>
        <v/>
      </c>
      <c r="AE266" s="242">
        <f t="shared" si="39"/>
        <v>52000.19</v>
      </c>
      <c r="AF266" s="242" t="str">
        <f t="shared" si="40"/>
        <v/>
      </c>
      <c r="AG266" s="242" t="str">
        <f t="shared" si="41"/>
        <v/>
      </c>
      <c r="AH266" s="352" t="str">
        <f t="shared" si="42"/>
        <v/>
      </c>
    </row>
    <row r="267" spans="2:34">
      <c r="B267" s="166" t="s">
        <v>395</v>
      </c>
      <c r="C267" s="150"/>
      <c r="D267" s="150" t="s">
        <v>118</v>
      </c>
      <c r="E267" s="150" t="s">
        <v>141</v>
      </c>
      <c r="F267" s="150" t="s">
        <v>818</v>
      </c>
      <c r="G267" s="146"/>
      <c r="H267" s="155"/>
      <c r="I267" s="135">
        <f t="shared" si="43"/>
        <v>0</v>
      </c>
      <c r="J267" s="147"/>
      <c r="K267" s="155">
        <v>670.02885357130106</v>
      </c>
      <c r="L267" s="88">
        <f t="shared" si="44"/>
        <v>398.06699156071107</v>
      </c>
      <c r="M267" s="160">
        <v>266716.37</v>
      </c>
      <c r="N267" s="167">
        <v>2016</v>
      </c>
      <c r="O267" s="167">
        <f>IFERROR(('General Input Sheet'!$G$38/(VLOOKUP(N267,'General Input Sheet'!$E$38:$G$44,3,FALSE))),1)</f>
        <v>1</v>
      </c>
      <c r="P267" s="189">
        <f t="shared" si="36"/>
        <v>266716.37</v>
      </c>
      <c r="Q267" s="89" t="str">
        <f t="shared" si="45"/>
        <v>y</v>
      </c>
      <c r="R267" s="89" t="str">
        <f t="shared" si="45"/>
        <v>y</v>
      </c>
      <c r="S267" s="89" t="str">
        <f t="shared" si="45"/>
        <v>y</v>
      </c>
      <c r="T267" s="89" t="str">
        <f t="shared" si="45"/>
        <v>y</v>
      </c>
      <c r="U267" s="254" t="str">
        <f t="shared" si="45"/>
        <v>y</v>
      </c>
      <c r="V267" s="308"/>
      <c r="W267" s="309" cm="1">
        <f t="array" ref="W267">_xlfn.IFS(AND(Q267="y",$D267="Local"), 1, AND(Q267="y",$D267&lt;&gt;"Local"),1.49009696454663%, Q267="","")</f>
        <v>1.49009696454663E-2</v>
      </c>
      <c r="X267" s="272" cm="1">
        <f t="array" ref="X267">_xlfn.IFS(AND(R267="y",$D267="Local"), 1, AND(R267="y",$D267&lt;&gt;"Local"),20.7557554582461%, R267="","")</f>
        <v>0.207557554582461</v>
      </c>
      <c r="Y267" s="272" cm="1">
        <f t="array" ref="Y267">_xlfn.IFS(AND(S267="y",$D267="Local"), 1, AND(S267="y",$D267&lt;&gt;"Local"),30.3499104327336%, S267="","")</f>
        <v>0.30349910432733601</v>
      </c>
      <c r="Z267" s="272" cm="1">
        <f t="array" ref="Z267">_xlfn.IFS(AND(T267="y",$D267="Local"), 1, AND(T267="y",$D267&lt;&gt;"Local"),29.0043833288201%, T267="","")</f>
        <v>0.29004383328820099</v>
      </c>
      <c r="AA267" s="272" cm="1">
        <f t="array" ref="AA267">_xlfn.IFS(AND(U267="y",$D267="Local"), 1, AND(U267="y",$D267&lt;&gt;"Local"),18.3998538156536%, U267="","")</f>
        <v>0.183998538156536</v>
      </c>
      <c r="AB267" s="68">
        <f t="shared" si="37"/>
        <v>1.0000000000000004</v>
      </c>
      <c r="AD267" s="306">
        <f t="shared" si="38"/>
        <v>3974.3325333189568</v>
      </c>
      <c r="AE267" s="242">
        <f t="shared" si="39"/>
        <v>55358.997524310842</v>
      </c>
      <c r="AF267" s="242">
        <f t="shared" si="40"/>
        <v>80948.179404438328</v>
      </c>
      <c r="AG267" s="242">
        <f t="shared" si="41"/>
        <v>77359.438355514096</v>
      </c>
      <c r="AH267" s="352">
        <f t="shared" si="42"/>
        <v>49075.422182417751</v>
      </c>
    </row>
    <row r="268" spans="2:34">
      <c r="B268" s="166" t="s">
        <v>396</v>
      </c>
      <c r="C268" s="150"/>
      <c r="D268" s="150" t="s">
        <v>116</v>
      </c>
      <c r="E268" s="150" t="s">
        <v>140</v>
      </c>
      <c r="F268" s="150" t="s">
        <v>819</v>
      </c>
      <c r="G268" s="146"/>
      <c r="H268" s="155"/>
      <c r="I268" s="135">
        <f t="shared" si="43"/>
        <v>0</v>
      </c>
      <c r="J268" s="147"/>
      <c r="K268" s="155">
        <v>1572.40444102421</v>
      </c>
      <c r="L268" s="88">
        <f t="shared" si="44"/>
        <v>27.669573339325186</v>
      </c>
      <c r="M268" s="160">
        <v>43507.76</v>
      </c>
      <c r="N268" s="167">
        <v>2016</v>
      </c>
      <c r="O268" s="167">
        <f>IFERROR(('General Input Sheet'!$G$38/(VLOOKUP(N268,'General Input Sheet'!$E$38:$G$44,3,FALSE))),1)</f>
        <v>1</v>
      </c>
      <c r="P268" s="189">
        <f t="shared" si="36"/>
        <v>43507.76</v>
      </c>
      <c r="Q268" s="89" t="str">
        <f t="shared" si="45"/>
        <v/>
      </c>
      <c r="R268" s="89" t="str">
        <f t="shared" si="45"/>
        <v>y</v>
      </c>
      <c r="S268" s="89" t="str">
        <f t="shared" si="45"/>
        <v/>
      </c>
      <c r="T268" s="89" t="str">
        <f t="shared" si="45"/>
        <v/>
      </c>
      <c r="U268" s="254" t="str">
        <f t="shared" si="45"/>
        <v/>
      </c>
      <c r="V268" s="308"/>
      <c r="W268" s="309" t="str" cm="1">
        <f t="array" ref="W268">_xlfn.IFS(AND(Q268="y",$D268="Local"), 1, AND(Q268="y",$D268&lt;&gt;"Local"),1.49009696454663%, Q268="","")</f>
        <v/>
      </c>
      <c r="X268" s="272" cm="1">
        <f t="array" ref="X268">_xlfn.IFS(AND(R268="y",$D268="Local"), 1, AND(R268="y",$D268&lt;&gt;"Local"),20.7557554582461%, R268="","")</f>
        <v>1</v>
      </c>
      <c r="Y268" s="272" t="str" cm="1">
        <f t="array" ref="Y268">_xlfn.IFS(AND(S268="y",$D268="Local"), 1, AND(S268="y",$D268&lt;&gt;"Local"),30.3499104327336%, S268="","")</f>
        <v/>
      </c>
      <c r="Z268" s="272" t="str" cm="1">
        <f t="array" ref="Z268">_xlfn.IFS(AND(T268="y",$D268="Local"), 1, AND(T268="y",$D268&lt;&gt;"Local"),29.0043833288201%, T268="","")</f>
        <v/>
      </c>
      <c r="AA268" s="272" t="str" cm="1">
        <f t="array" ref="AA268">_xlfn.IFS(AND(U268="y",$D268="Local"), 1, AND(U268="y",$D268&lt;&gt;"Local"),18.3998538156536%, U268="","")</f>
        <v/>
      </c>
      <c r="AB268" s="68">
        <f t="shared" si="37"/>
        <v>1</v>
      </c>
      <c r="AD268" s="306" t="str">
        <f t="shared" si="38"/>
        <v/>
      </c>
      <c r="AE268" s="242">
        <f t="shared" si="39"/>
        <v>43507.76</v>
      </c>
      <c r="AF268" s="242" t="str">
        <f t="shared" si="40"/>
        <v/>
      </c>
      <c r="AG268" s="242" t="str">
        <f t="shared" si="41"/>
        <v/>
      </c>
      <c r="AH268" s="352" t="str">
        <f t="shared" si="42"/>
        <v/>
      </c>
    </row>
    <row r="269" spans="2:34">
      <c r="B269" s="166" t="s">
        <v>397</v>
      </c>
      <c r="C269" s="150"/>
      <c r="D269" s="150" t="s">
        <v>118</v>
      </c>
      <c r="E269" s="150" t="s">
        <v>141</v>
      </c>
      <c r="F269" s="150" t="s">
        <v>820</v>
      </c>
      <c r="G269" s="146"/>
      <c r="H269" s="155"/>
      <c r="I269" s="135">
        <f t="shared" si="43"/>
        <v>0</v>
      </c>
      <c r="J269" s="147"/>
      <c r="K269" s="155">
        <v>306.915779995989</v>
      </c>
      <c r="L269" s="88">
        <f t="shared" si="44"/>
        <v>402.81343631668494</v>
      </c>
      <c r="M269" s="160">
        <v>123629.8</v>
      </c>
      <c r="N269" s="167">
        <v>2016</v>
      </c>
      <c r="O269" s="167">
        <f>IFERROR(('General Input Sheet'!$G$38/(VLOOKUP(N269,'General Input Sheet'!$E$38:$G$44,3,FALSE))),1)</f>
        <v>1</v>
      </c>
      <c r="P269" s="189">
        <f t="shared" ref="P269:P332" si="46">J269+M269</f>
        <v>123629.8</v>
      </c>
      <c r="Q269" s="89" t="str">
        <f t="shared" si="45"/>
        <v>y</v>
      </c>
      <c r="R269" s="89" t="str">
        <f t="shared" si="45"/>
        <v>y</v>
      </c>
      <c r="S269" s="89" t="str">
        <f t="shared" si="45"/>
        <v>y</v>
      </c>
      <c r="T269" s="89" t="str">
        <f t="shared" si="45"/>
        <v>y</v>
      </c>
      <c r="U269" s="254" t="str">
        <f t="shared" si="45"/>
        <v>y</v>
      </c>
      <c r="V269" s="308"/>
      <c r="W269" s="309" cm="1">
        <f t="array" ref="W269">_xlfn.IFS(AND(Q269="y",$D269="Local"), 1, AND(Q269="y",$D269&lt;&gt;"Local"),1.49009696454663%, Q269="","")</f>
        <v>1.49009696454663E-2</v>
      </c>
      <c r="X269" s="272" cm="1">
        <f t="array" ref="X269">_xlfn.IFS(AND(R269="y",$D269="Local"), 1, AND(R269="y",$D269&lt;&gt;"Local"),20.7557554582461%, R269="","")</f>
        <v>0.207557554582461</v>
      </c>
      <c r="Y269" s="272" cm="1">
        <f t="array" ref="Y269">_xlfn.IFS(AND(S269="y",$D269="Local"), 1, AND(S269="y",$D269&lt;&gt;"Local"),30.3499104327336%, S269="","")</f>
        <v>0.30349910432733601</v>
      </c>
      <c r="Z269" s="272" cm="1">
        <f t="array" ref="Z269">_xlfn.IFS(AND(T269="y",$D269="Local"), 1, AND(T269="y",$D269&lt;&gt;"Local"),29.0043833288201%, T269="","")</f>
        <v>0.29004383328820099</v>
      </c>
      <c r="AA269" s="272" cm="1">
        <f t="array" ref="AA269">_xlfn.IFS(AND(U269="y",$D269="Local"), 1, AND(U269="y",$D269&lt;&gt;"Local"),18.3998538156536%, U269="","")</f>
        <v>0.183998538156536</v>
      </c>
      <c r="AB269" s="68">
        <f t="shared" ref="AB269:AB332" si="47">SUM(W269:AA269)</f>
        <v>1.0000000000000004</v>
      </c>
      <c r="AD269" s="306">
        <f t="shared" ref="AD269:AD332" si="48">IF(W269="","",(W269/$AB269)*$P269)</f>
        <v>1842.2038970750689</v>
      </c>
      <c r="AE269" s="242">
        <f t="shared" ref="AE269:AE332" si="49">IF(X269="","",(X269/$AB269)*$P269)</f>
        <v>25660.298961518729</v>
      </c>
      <c r="AF269" s="242">
        <f t="shared" ref="AF269:AF332" si="50">IF(Y269="","",(Y269/$AB269)*$P269)</f>
        <v>37521.533568167673</v>
      </c>
      <c r="AG269" s="242">
        <f t="shared" ref="AG269:AG332" si="51">IF(Z269="","",(Z269/$AB269)*$P269)</f>
        <v>35858.06110065362</v>
      </c>
      <c r="AH269" s="352">
        <f t="shared" ref="AH269:AH332" si="52">IF(AA269="","",(AA269/$AB269)*$P269)</f>
        <v>22747.702472584904</v>
      </c>
    </row>
    <row r="270" spans="2:34">
      <c r="B270" s="166" t="s">
        <v>398</v>
      </c>
      <c r="C270" s="150"/>
      <c r="D270" s="150" t="s">
        <v>118</v>
      </c>
      <c r="E270" s="150" t="s">
        <v>141</v>
      </c>
      <c r="F270" s="150" t="s">
        <v>821</v>
      </c>
      <c r="G270" s="146"/>
      <c r="H270" s="155"/>
      <c r="I270" s="135">
        <f t="shared" ref="I270:I333" si="53">IFERROR((J270-G270)/H270,0)</f>
        <v>0</v>
      </c>
      <c r="J270" s="147"/>
      <c r="K270" s="155">
        <v>56.404204811648697</v>
      </c>
      <c r="L270" s="88">
        <f t="shared" si="44"/>
        <v>300.89724793877315</v>
      </c>
      <c r="M270" s="160">
        <v>16971.87</v>
      </c>
      <c r="N270" s="167">
        <v>2016</v>
      </c>
      <c r="O270" s="167">
        <f>IFERROR(('General Input Sheet'!$G$38/(VLOOKUP(N270,'General Input Sheet'!$E$38:$G$44,3,FALSE))),1)</f>
        <v>1</v>
      </c>
      <c r="P270" s="189">
        <f t="shared" si="46"/>
        <v>16971.87</v>
      </c>
      <c r="Q270" s="89" t="str">
        <f t="shared" si="45"/>
        <v>y</v>
      </c>
      <c r="R270" s="89" t="str">
        <f t="shared" si="45"/>
        <v>y</v>
      </c>
      <c r="S270" s="89" t="str">
        <f t="shared" si="45"/>
        <v>y</v>
      </c>
      <c r="T270" s="89" t="str">
        <f t="shared" si="45"/>
        <v>y</v>
      </c>
      <c r="U270" s="254" t="str">
        <f t="shared" si="45"/>
        <v>y</v>
      </c>
      <c r="V270" s="308"/>
      <c r="W270" s="309" cm="1">
        <f t="array" ref="W270">_xlfn.IFS(AND(Q270="y",$D270="Local"), 1, AND(Q270="y",$D270&lt;&gt;"Local"),1.49009696454663%, Q270="","")</f>
        <v>1.49009696454663E-2</v>
      </c>
      <c r="X270" s="272" cm="1">
        <f t="array" ref="X270">_xlfn.IFS(AND(R270="y",$D270="Local"), 1, AND(R270="y",$D270&lt;&gt;"Local"),20.7557554582461%, R270="","")</f>
        <v>0.207557554582461</v>
      </c>
      <c r="Y270" s="272" cm="1">
        <f t="array" ref="Y270">_xlfn.IFS(AND(S270="y",$D270="Local"), 1, AND(S270="y",$D270&lt;&gt;"Local"),30.3499104327336%, S270="","")</f>
        <v>0.30349910432733601</v>
      </c>
      <c r="Z270" s="272" cm="1">
        <f t="array" ref="Z270">_xlfn.IFS(AND(T270="y",$D270="Local"), 1, AND(T270="y",$D270&lt;&gt;"Local"),29.0043833288201%, T270="","")</f>
        <v>0.29004383328820099</v>
      </c>
      <c r="AA270" s="272" cm="1">
        <f t="array" ref="AA270">_xlfn.IFS(AND(U270="y",$D270="Local"), 1, AND(U270="y",$D270&lt;&gt;"Local"),18.3998538156536%, U270="","")</f>
        <v>0.183998538156536</v>
      </c>
      <c r="AB270" s="68">
        <f t="shared" si="47"/>
        <v>1.0000000000000004</v>
      </c>
      <c r="AD270" s="306">
        <f t="shared" si="48"/>
        <v>252.8973196968</v>
      </c>
      <c r="AE270" s="242">
        <f t="shared" si="49"/>
        <v>3522.639833891431</v>
      </c>
      <c r="AF270" s="242">
        <f t="shared" si="50"/>
        <v>5150.9473437599818</v>
      </c>
      <c r="AG270" s="242">
        <f t="shared" si="51"/>
        <v>4922.5862328690173</v>
      </c>
      <c r="AH270" s="352">
        <f t="shared" si="52"/>
        <v>3122.7992697827672</v>
      </c>
    </row>
    <row r="271" spans="2:34">
      <c r="B271" s="166" t="s">
        <v>399</v>
      </c>
      <c r="C271" s="150"/>
      <c r="D271" s="150" t="s">
        <v>118</v>
      </c>
      <c r="E271" s="150" t="s">
        <v>141</v>
      </c>
      <c r="F271" s="150" t="s">
        <v>822</v>
      </c>
      <c r="G271" s="146"/>
      <c r="H271" s="155"/>
      <c r="I271" s="135">
        <f t="shared" si="53"/>
        <v>0</v>
      </c>
      <c r="J271" s="147"/>
      <c r="K271" s="155">
        <v>13.7245500521674</v>
      </c>
      <c r="L271" s="88">
        <f t="shared" ref="L271:L334" si="54">IFERROR(M271/K271,0)</f>
        <v>380.61867093231569</v>
      </c>
      <c r="M271" s="160">
        <v>5223.82</v>
      </c>
      <c r="N271" s="167">
        <v>2016</v>
      </c>
      <c r="O271" s="167">
        <f>IFERROR(('General Input Sheet'!$G$38/(VLOOKUP(N271,'General Input Sheet'!$E$38:$G$44,3,FALSE))),1)</f>
        <v>1</v>
      </c>
      <c r="P271" s="189">
        <f t="shared" si="46"/>
        <v>5223.82</v>
      </c>
      <c r="Q271" s="89" t="str">
        <f t="shared" si="45"/>
        <v>y</v>
      </c>
      <c r="R271" s="89" t="str">
        <f t="shared" si="45"/>
        <v>y</v>
      </c>
      <c r="S271" s="89" t="str">
        <f t="shared" si="45"/>
        <v>y</v>
      </c>
      <c r="T271" s="89" t="str">
        <f t="shared" si="45"/>
        <v>y</v>
      </c>
      <c r="U271" s="254" t="str">
        <f t="shared" si="45"/>
        <v>y</v>
      </c>
      <c r="V271" s="308"/>
      <c r="W271" s="309" cm="1">
        <f t="array" ref="W271">_xlfn.IFS(AND(Q271="y",$D271="Local"), 1, AND(Q271="y",$D271&lt;&gt;"Local"),1.49009696454663%, Q271="","")</f>
        <v>1.49009696454663E-2</v>
      </c>
      <c r="X271" s="272" cm="1">
        <f t="array" ref="X271">_xlfn.IFS(AND(R271="y",$D271="Local"), 1, AND(R271="y",$D271&lt;&gt;"Local"),20.7557554582461%, R271="","")</f>
        <v>0.207557554582461</v>
      </c>
      <c r="Y271" s="272" cm="1">
        <f t="array" ref="Y271">_xlfn.IFS(AND(S271="y",$D271="Local"), 1, AND(S271="y",$D271&lt;&gt;"Local"),30.3499104327336%, S271="","")</f>
        <v>0.30349910432733601</v>
      </c>
      <c r="Z271" s="272" cm="1">
        <f t="array" ref="Z271">_xlfn.IFS(AND(T271="y",$D271="Local"), 1, AND(T271="y",$D271&lt;&gt;"Local"),29.0043833288201%, T271="","")</f>
        <v>0.29004383328820099</v>
      </c>
      <c r="AA271" s="272" cm="1">
        <f t="array" ref="AA271">_xlfn.IFS(AND(U271="y",$D271="Local"), 1, AND(U271="y",$D271&lt;&gt;"Local"),18.3998538156536%, U271="","")</f>
        <v>0.183998538156536</v>
      </c>
      <c r="AB271" s="68">
        <f t="shared" si="47"/>
        <v>1.0000000000000004</v>
      </c>
      <c r="AD271" s="306">
        <f t="shared" si="48"/>
        <v>77.839983253379728</v>
      </c>
      <c r="AE271" s="242">
        <f t="shared" si="49"/>
        <v>1084.2433047789509</v>
      </c>
      <c r="AF271" s="242">
        <f t="shared" si="50"/>
        <v>1585.4246911672237</v>
      </c>
      <c r="AG271" s="242">
        <f t="shared" si="51"/>
        <v>1515.1367772075694</v>
      </c>
      <c r="AH271" s="352">
        <f t="shared" si="52"/>
        <v>961.1752435928754</v>
      </c>
    </row>
    <row r="272" spans="2:34">
      <c r="B272" s="166" t="s">
        <v>400</v>
      </c>
      <c r="C272" s="150"/>
      <c r="D272" s="150" t="s">
        <v>118</v>
      </c>
      <c r="E272" s="150" t="s">
        <v>141</v>
      </c>
      <c r="F272" s="150" t="s">
        <v>823</v>
      </c>
      <c r="G272" s="146">
        <v>56000</v>
      </c>
      <c r="H272" s="155">
        <v>639</v>
      </c>
      <c r="I272" s="135">
        <f t="shared" si="53"/>
        <v>45</v>
      </c>
      <c r="J272" s="147">
        <v>84755</v>
      </c>
      <c r="K272" s="155">
        <v>908.42357962981896</v>
      </c>
      <c r="L272" s="88">
        <f t="shared" si="54"/>
        <v>26.917828365886837</v>
      </c>
      <c r="M272" s="160">
        <v>24452.79</v>
      </c>
      <c r="N272" s="167">
        <v>2016</v>
      </c>
      <c r="O272" s="167">
        <f>IFERROR(('General Input Sheet'!$G$38/(VLOOKUP(N272,'General Input Sheet'!$E$38:$G$44,3,FALSE))),1)</f>
        <v>1</v>
      </c>
      <c r="P272" s="189">
        <f t="shared" si="46"/>
        <v>109207.79000000001</v>
      </c>
      <c r="Q272" s="89" t="str">
        <f t="shared" si="45"/>
        <v>y</v>
      </c>
      <c r="R272" s="89" t="str">
        <f t="shared" si="45"/>
        <v>y</v>
      </c>
      <c r="S272" s="89" t="str">
        <f t="shared" si="45"/>
        <v>y</v>
      </c>
      <c r="T272" s="89" t="str">
        <f t="shared" si="45"/>
        <v>y</v>
      </c>
      <c r="U272" s="254" t="str">
        <f t="shared" si="45"/>
        <v>y</v>
      </c>
      <c r="V272" s="308"/>
      <c r="W272" s="309" cm="1">
        <f t="array" ref="W272">_xlfn.IFS(AND(Q272="y",$D272="Local"), 1, AND(Q272="y",$D272&lt;&gt;"Local"),1.49009696454663%, Q272="","")</f>
        <v>1.49009696454663E-2</v>
      </c>
      <c r="X272" s="272" cm="1">
        <f t="array" ref="X272">_xlfn.IFS(AND(R272="y",$D272="Local"), 1, AND(R272="y",$D272&lt;&gt;"Local"),20.7557554582461%, R272="","")</f>
        <v>0.207557554582461</v>
      </c>
      <c r="Y272" s="272" cm="1">
        <f t="array" ref="Y272">_xlfn.IFS(AND(S272="y",$D272="Local"), 1, AND(S272="y",$D272&lt;&gt;"Local"),30.3499104327336%, S272="","")</f>
        <v>0.30349910432733601</v>
      </c>
      <c r="Z272" s="272" cm="1">
        <f t="array" ref="Z272">_xlfn.IFS(AND(T272="y",$D272="Local"), 1, AND(T272="y",$D272&lt;&gt;"Local"),29.0043833288201%, T272="","")</f>
        <v>0.29004383328820099</v>
      </c>
      <c r="AA272" s="272" cm="1">
        <f t="array" ref="AA272">_xlfn.IFS(AND(U272="y",$D272="Local"), 1, AND(U272="y",$D272&lt;&gt;"Local"),18.3998538156536%, U272="","")</f>
        <v>0.183998538156536</v>
      </c>
      <c r="AB272" s="68">
        <f t="shared" si="47"/>
        <v>1.0000000000000004</v>
      </c>
      <c r="AD272" s="306">
        <f t="shared" si="48"/>
        <v>1627.3019638384576</v>
      </c>
      <c r="AE272" s="242">
        <f t="shared" si="49"/>
        <v>22666.901833754931</v>
      </c>
      <c r="AF272" s="242">
        <f t="shared" si="50"/>
        <v>33144.466450567794</v>
      </c>
      <c r="AG272" s="242">
        <f t="shared" si="51"/>
        <v>31675.046036532854</v>
      </c>
      <c r="AH272" s="352">
        <f t="shared" si="52"/>
        <v>20094.073715305964</v>
      </c>
    </row>
    <row r="273" spans="2:34">
      <c r="B273" s="166" t="s">
        <v>401</v>
      </c>
      <c r="C273" s="150"/>
      <c r="D273" s="150" t="s">
        <v>118</v>
      </c>
      <c r="E273" s="150" t="s">
        <v>142</v>
      </c>
      <c r="F273" s="150" t="s">
        <v>824</v>
      </c>
      <c r="G273" s="146"/>
      <c r="H273" s="155"/>
      <c r="I273" s="135">
        <f t="shared" si="53"/>
        <v>0</v>
      </c>
      <c r="J273" s="147"/>
      <c r="K273" s="155">
        <v>2793.1290624058902</v>
      </c>
      <c r="L273" s="88">
        <f t="shared" si="54"/>
        <v>3.5802140812592448E-6</v>
      </c>
      <c r="M273" s="160">
        <v>0.01</v>
      </c>
      <c r="N273" s="167">
        <v>2016</v>
      </c>
      <c r="O273" s="167">
        <f>IFERROR(('General Input Sheet'!$G$38/(VLOOKUP(N273,'General Input Sheet'!$E$38:$G$44,3,FALSE))),1)</f>
        <v>1</v>
      </c>
      <c r="P273" s="189">
        <f t="shared" si="46"/>
        <v>0.01</v>
      </c>
      <c r="Q273" s="89" t="str">
        <f t="shared" si="45"/>
        <v>y</v>
      </c>
      <c r="R273" s="89" t="str">
        <f t="shared" si="45"/>
        <v>y</v>
      </c>
      <c r="S273" s="89" t="str">
        <f t="shared" si="45"/>
        <v>y</v>
      </c>
      <c r="T273" s="89" t="str">
        <f t="shared" si="45"/>
        <v>y</v>
      </c>
      <c r="U273" s="254" t="str">
        <f t="shared" si="45"/>
        <v>y</v>
      </c>
      <c r="V273" s="308"/>
      <c r="W273" s="309" cm="1">
        <f t="array" ref="W273">_xlfn.IFS(AND(Q273="y",$D273="Local"), 1, AND(Q273="y",$D273&lt;&gt;"Local"),1.49009696454663%, Q273="","")</f>
        <v>1.49009696454663E-2</v>
      </c>
      <c r="X273" s="272" cm="1">
        <f t="array" ref="X273">_xlfn.IFS(AND(R273="y",$D273="Local"), 1, AND(R273="y",$D273&lt;&gt;"Local"),20.7557554582461%, R273="","")</f>
        <v>0.207557554582461</v>
      </c>
      <c r="Y273" s="272" cm="1">
        <f t="array" ref="Y273">_xlfn.IFS(AND(S273="y",$D273="Local"), 1, AND(S273="y",$D273&lt;&gt;"Local"),30.3499104327336%, S273="","")</f>
        <v>0.30349910432733601</v>
      </c>
      <c r="Z273" s="272" cm="1">
        <f t="array" ref="Z273">_xlfn.IFS(AND(T273="y",$D273="Local"), 1, AND(T273="y",$D273&lt;&gt;"Local"),29.0043833288201%, T273="","")</f>
        <v>0.29004383328820099</v>
      </c>
      <c r="AA273" s="272" cm="1">
        <f t="array" ref="AA273">_xlfn.IFS(AND(U273="y",$D273="Local"), 1, AND(U273="y",$D273&lt;&gt;"Local"),18.3998538156536%, U273="","")</f>
        <v>0.183998538156536</v>
      </c>
      <c r="AB273" s="68">
        <f t="shared" si="47"/>
        <v>1.0000000000000004</v>
      </c>
      <c r="AD273" s="306">
        <f t="shared" si="48"/>
        <v>1.4900969645466293E-4</v>
      </c>
      <c r="AE273" s="242">
        <f t="shared" si="49"/>
        <v>2.0755755458246091E-3</v>
      </c>
      <c r="AF273" s="242">
        <f t="shared" si="50"/>
        <v>3.0349910432733592E-3</v>
      </c>
      <c r="AG273" s="242">
        <f t="shared" si="51"/>
        <v>2.9004383328820088E-3</v>
      </c>
      <c r="AH273" s="352">
        <f t="shared" si="52"/>
        <v>1.8399853815653591E-3</v>
      </c>
    </row>
    <row r="274" spans="2:34">
      <c r="B274" s="166" t="s">
        <v>402</v>
      </c>
      <c r="C274" s="150"/>
      <c r="D274" s="150" t="s">
        <v>118</v>
      </c>
      <c r="E274" s="150" t="s">
        <v>141</v>
      </c>
      <c r="F274" s="150" t="s">
        <v>825</v>
      </c>
      <c r="G274" s="146"/>
      <c r="H274" s="155"/>
      <c r="I274" s="135">
        <f t="shared" si="53"/>
        <v>0</v>
      </c>
      <c r="J274" s="147"/>
      <c r="K274" s="155">
        <v>145.491714933042</v>
      </c>
      <c r="L274" s="88">
        <f t="shared" si="54"/>
        <v>396.46855511014314</v>
      </c>
      <c r="M274" s="160">
        <v>57682.89</v>
      </c>
      <c r="N274" s="167">
        <v>2016</v>
      </c>
      <c r="O274" s="167">
        <f>IFERROR(('General Input Sheet'!$G$38/(VLOOKUP(N274,'General Input Sheet'!$E$38:$G$44,3,FALSE))),1)</f>
        <v>1</v>
      </c>
      <c r="P274" s="189">
        <f t="shared" si="46"/>
        <v>57682.89</v>
      </c>
      <c r="Q274" s="89" t="str">
        <f t="shared" si="45"/>
        <v>y</v>
      </c>
      <c r="R274" s="89" t="str">
        <f t="shared" si="45"/>
        <v>y</v>
      </c>
      <c r="S274" s="89" t="str">
        <f t="shared" si="45"/>
        <v>y</v>
      </c>
      <c r="T274" s="89" t="str">
        <f t="shared" si="45"/>
        <v>y</v>
      </c>
      <c r="U274" s="254" t="str">
        <f t="shared" si="45"/>
        <v>y</v>
      </c>
      <c r="V274" s="308"/>
      <c r="W274" s="309" cm="1">
        <f t="array" ref="W274">_xlfn.IFS(AND(Q274="y",$D274="Local"), 1, AND(Q274="y",$D274&lt;&gt;"Local"),1.49009696454663%, Q274="","")</f>
        <v>1.49009696454663E-2</v>
      </c>
      <c r="X274" s="272" cm="1">
        <f t="array" ref="X274">_xlfn.IFS(AND(R274="y",$D274="Local"), 1, AND(R274="y",$D274&lt;&gt;"Local"),20.7557554582461%, R274="","")</f>
        <v>0.207557554582461</v>
      </c>
      <c r="Y274" s="272" cm="1">
        <f t="array" ref="Y274">_xlfn.IFS(AND(S274="y",$D274="Local"), 1, AND(S274="y",$D274&lt;&gt;"Local"),30.3499104327336%, S274="","")</f>
        <v>0.30349910432733601</v>
      </c>
      <c r="Z274" s="272" cm="1">
        <f t="array" ref="Z274">_xlfn.IFS(AND(T274="y",$D274="Local"), 1, AND(T274="y",$D274&lt;&gt;"Local"),29.0043833288201%, T274="","")</f>
        <v>0.29004383328820099</v>
      </c>
      <c r="AA274" s="272" cm="1">
        <f t="array" ref="AA274">_xlfn.IFS(AND(U274="y",$D274="Local"), 1, AND(U274="y",$D274&lt;&gt;"Local"),18.3998538156536%, U274="","")</f>
        <v>0.183998538156536</v>
      </c>
      <c r="AB274" s="68">
        <f t="shared" si="47"/>
        <v>1.0000000000000004</v>
      </c>
      <c r="AD274" s="306">
        <f t="shared" si="48"/>
        <v>859.53099295277116</v>
      </c>
      <c r="AE274" s="242">
        <f t="shared" si="49"/>
        <v>11972.51958964909</v>
      </c>
      <c r="AF274" s="242">
        <f t="shared" si="50"/>
        <v>17506.705450012239</v>
      </c>
      <c r="AG274" s="242">
        <f t="shared" si="51"/>
        <v>16730.566530741631</v>
      </c>
      <c r="AH274" s="352">
        <f t="shared" si="52"/>
        <v>10613.567436644264</v>
      </c>
    </row>
    <row r="275" spans="2:34">
      <c r="B275" s="166" t="s">
        <v>403</v>
      </c>
      <c r="C275" s="150"/>
      <c r="D275" s="150" t="s">
        <v>118</v>
      </c>
      <c r="E275" s="150" t="s">
        <v>143</v>
      </c>
      <c r="F275" s="150" t="s">
        <v>826</v>
      </c>
      <c r="G275" s="146">
        <v>56000</v>
      </c>
      <c r="H275" s="155">
        <v>899</v>
      </c>
      <c r="I275" s="135">
        <f t="shared" si="53"/>
        <v>45</v>
      </c>
      <c r="J275" s="147">
        <v>96455</v>
      </c>
      <c r="K275" s="155">
        <v>889.624600593683</v>
      </c>
      <c r="L275" s="88">
        <f t="shared" si="54"/>
        <v>427.97696887644224</v>
      </c>
      <c r="M275" s="160">
        <v>380738.84</v>
      </c>
      <c r="N275" s="167">
        <v>2016</v>
      </c>
      <c r="O275" s="167">
        <f>IFERROR(('General Input Sheet'!$G$38/(VLOOKUP(N275,'General Input Sheet'!$E$38:$G$44,3,FALSE))),1)</f>
        <v>1</v>
      </c>
      <c r="P275" s="189">
        <f t="shared" si="46"/>
        <v>477193.84</v>
      </c>
      <c r="Q275" s="89" t="str">
        <f t="shared" si="45"/>
        <v>y</v>
      </c>
      <c r="R275" s="89" t="str">
        <f t="shared" si="45"/>
        <v>y</v>
      </c>
      <c r="S275" s="89" t="str">
        <f t="shared" si="45"/>
        <v>y</v>
      </c>
      <c r="T275" s="89" t="str">
        <f t="shared" si="45"/>
        <v>y</v>
      </c>
      <c r="U275" s="254" t="str">
        <f t="shared" si="45"/>
        <v>y</v>
      </c>
      <c r="V275" s="308"/>
      <c r="W275" s="309" cm="1">
        <f t="array" ref="W275">_xlfn.IFS(AND(Q275="y",$D275="Local"), 1, AND(Q275="y",$D275&lt;&gt;"Local"),1.49009696454663%, Q275="","")</f>
        <v>1.49009696454663E-2</v>
      </c>
      <c r="X275" s="272" cm="1">
        <f t="array" ref="X275">_xlfn.IFS(AND(R275="y",$D275="Local"), 1, AND(R275="y",$D275&lt;&gt;"Local"),20.7557554582461%, R275="","")</f>
        <v>0.207557554582461</v>
      </c>
      <c r="Y275" s="272" cm="1">
        <f t="array" ref="Y275">_xlfn.IFS(AND(S275="y",$D275="Local"), 1, AND(S275="y",$D275&lt;&gt;"Local"),30.3499104327336%, S275="","")</f>
        <v>0.30349910432733601</v>
      </c>
      <c r="Z275" s="272" cm="1">
        <f t="array" ref="Z275">_xlfn.IFS(AND(T275="y",$D275="Local"), 1, AND(T275="y",$D275&lt;&gt;"Local"),29.0043833288201%, T275="","")</f>
        <v>0.29004383328820099</v>
      </c>
      <c r="AA275" s="272" cm="1">
        <f t="array" ref="AA275">_xlfn.IFS(AND(U275="y",$D275="Local"), 1, AND(U275="y",$D275&lt;&gt;"Local"),18.3998538156536%, U275="","")</f>
        <v>0.183998538156536</v>
      </c>
      <c r="AB275" s="68">
        <f t="shared" si="47"/>
        <v>1.0000000000000004</v>
      </c>
      <c r="AD275" s="306">
        <f t="shared" si="48"/>
        <v>7110.6509248434995</v>
      </c>
      <c r="AE275" s="242">
        <f t="shared" si="49"/>
        <v>99045.186492214125</v>
      </c>
      <c r="AF275" s="242">
        <f t="shared" si="50"/>
        <v>144827.90303052205</v>
      </c>
      <c r="AG275" s="242">
        <f t="shared" si="51"/>
        <v>138407.1305751164</v>
      </c>
      <c r="AH275" s="352">
        <f t="shared" si="52"/>
        <v>87802.968977303899</v>
      </c>
    </row>
    <row r="276" spans="2:34">
      <c r="B276" s="166" t="s">
        <v>404</v>
      </c>
      <c r="C276" s="150"/>
      <c r="D276" s="150" t="s">
        <v>116</v>
      </c>
      <c r="E276" s="150" t="s">
        <v>140</v>
      </c>
      <c r="F276" s="150" t="s">
        <v>827</v>
      </c>
      <c r="G276" s="146"/>
      <c r="H276" s="155"/>
      <c r="I276" s="135">
        <f t="shared" si="53"/>
        <v>0</v>
      </c>
      <c r="J276" s="147"/>
      <c r="K276" s="155">
        <v>174.74932648460501</v>
      </c>
      <c r="L276" s="88">
        <f t="shared" si="54"/>
        <v>378.98618170545274</v>
      </c>
      <c r="M276" s="160">
        <v>66227.58</v>
      </c>
      <c r="N276" s="167">
        <v>2016</v>
      </c>
      <c r="O276" s="167">
        <f>IFERROR(('General Input Sheet'!$G$38/(VLOOKUP(N276,'General Input Sheet'!$E$38:$G$44,3,FALSE))),1)</f>
        <v>1</v>
      </c>
      <c r="P276" s="189">
        <f t="shared" si="46"/>
        <v>66227.58</v>
      </c>
      <c r="Q276" s="89" t="str">
        <f t="shared" si="45"/>
        <v/>
      </c>
      <c r="R276" s="89" t="str">
        <f t="shared" si="45"/>
        <v>y</v>
      </c>
      <c r="S276" s="89" t="str">
        <f t="shared" si="45"/>
        <v/>
      </c>
      <c r="T276" s="89" t="str">
        <f t="shared" si="45"/>
        <v/>
      </c>
      <c r="U276" s="254" t="str">
        <f t="shared" si="45"/>
        <v/>
      </c>
      <c r="V276" s="308"/>
      <c r="W276" s="309" t="str" cm="1">
        <f t="array" ref="W276">_xlfn.IFS(AND(Q276="y",$D276="Local"), 1, AND(Q276="y",$D276&lt;&gt;"Local"),1.49009696454663%, Q276="","")</f>
        <v/>
      </c>
      <c r="X276" s="272" cm="1">
        <f t="array" ref="X276">_xlfn.IFS(AND(R276="y",$D276="Local"), 1, AND(R276="y",$D276&lt;&gt;"Local"),20.7557554582461%, R276="","")</f>
        <v>1</v>
      </c>
      <c r="Y276" s="272" t="str" cm="1">
        <f t="array" ref="Y276">_xlfn.IFS(AND(S276="y",$D276="Local"), 1, AND(S276="y",$D276&lt;&gt;"Local"),30.3499104327336%, S276="","")</f>
        <v/>
      </c>
      <c r="Z276" s="272" t="str" cm="1">
        <f t="array" ref="Z276">_xlfn.IFS(AND(T276="y",$D276="Local"), 1, AND(T276="y",$D276&lt;&gt;"Local"),29.0043833288201%, T276="","")</f>
        <v/>
      </c>
      <c r="AA276" s="272" t="str" cm="1">
        <f t="array" ref="AA276">_xlfn.IFS(AND(U276="y",$D276="Local"), 1, AND(U276="y",$D276&lt;&gt;"Local"),18.3998538156536%, U276="","")</f>
        <v/>
      </c>
      <c r="AB276" s="68">
        <f t="shared" si="47"/>
        <v>1</v>
      </c>
      <c r="AD276" s="306" t="str">
        <f t="shared" si="48"/>
        <v/>
      </c>
      <c r="AE276" s="242">
        <f t="shared" si="49"/>
        <v>66227.58</v>
      </c>
      <c r="AF276" s="242" t="str">
        <f t="shared" si="50"/>
        <v/>
      </c>
      <c r="AG276" s="242" t="str">
        <f t="shared" si="51"/>
        <v/>
      </c>
      <c r="AH276" s="352" t="str">
        <f t="shared" si="52"/>
        <v/>
      </c>
    </row>
    <row r="277" spans="2:34">
      <c r="B277" s="166" t="s">
        <v>405</v>
      </c>
      <c r="C277" s="150"/>
      <c r="D277" s="150" t="s">
        <v>118</v>
      </c>
      <c r="E277" s="150" t="s">
        <v>141</v>
      </c>
      <c r="F277" s="150" t="s">
        <v>828</v>
      </c>
      <c r="G277" s="146"/>
      <c r="H277" s="155"/>
      <c r="I277" s="135">
        <f t="shared" si="53"/>
        <v>0</v>
      </c>
      <c r="J277" s="147"/>
      <c r="K277" s="155">
        <v>398.83197935360602</v>
      </c>
      <c r="L277" s="88">
        <f t="shared" si="54"/>
        <v>294.06799372027234</v>
      </c>
      <c r="M277" s="160">
        <v>117283.72</v>
      </c>
      <c r="N277" s="167">
        <v>2016</v>
      </c>
      <c r="O277" s="167">
        <f>IFERROR(('General Input Sheet'!$G$38/(VLOOKUP(N277,'General Input Sheet'!$E$38:$G$44,3,FALSE))),1)</f>
        <v>1</v>
      </c>
      <c r="P277" s="189">
        <f t="shared" si="46"/>
        <v>117283.72</v>
      </c>
      <c r="Q277" s="89" t="str">
        <f t="shared" si="45"/>
        <v>y</v>
      </c>
      <c r="R277" s="89" t="str">
        <f t="shared" si="45"/>
        <v>y</v>
      </c>
      <c r="S277" s="89" t="str">
        <f t="shared" si="45"/>
        <v>y</v>
      </c>
      <c r="T277" s="89" t="str">
        <f t="shared" si="45"/>
        <v>y</v>
      </c>
      <c r="U277" s="254" t="str">
        <f t="shared" si="45"/>
        <v>y</v>
      </c>
      <c r="V277" s="308"/>
      <c r="W277" s="309" cm="1">
        <f t="array" ref="W277">_xlfn.IFS(AND(Q277="y",$D277="Local"), 1, AND(Q277="y",$D277&lt;&gt;"Local"),1.49009696454663%, Q277="","")</f>
        <v>1.49009696454663E-2</v>
      </c>
      <c r="X277" s="272" cm="1">
        <f t="array" ref="X277">_xlfn.IFS(AND(R277="y",$D277="Local"), 1, AND(R277="y",$D277&lt;&gt;"Local"),20.7557554582461%, R277="","")</f>
        <v>0.207557554582461</v>
      </c>
      <c r="Y277" s="272" cm="1">
        <f t="array" ref="Y277">_xlfn.IFS(AND(S277="y",$D277="Local"), 1, AND(S277="y",$D277&lt;&gt;"Local"),30.3499104327336%, S277="","")</f>
        <v>0.30349910432733601</v>
      </c>
      <c r="Z277" s="272" cm="1">
        <f t="array" ref="Z277">_xlfn.IFS(AND(T277="y",$D277="Local"), 1, AND(T277="y",$D277&lt;&gt;"Local"),29.0043833288201%, T277="","")</f>
        <v>0.29004383328820099</v>
      </c>
      <c r="AA277" s="272" cm="1">
        <f t="array" ref="AA277">_xlfn.IFS(AND(U277="y",$D277="Local"), 1, AND(U277="y",$D277&lt;&gt;"Local"),18.3998538156536%, U277="","")</f>
        <v>0.183998538156536</v>
      </c>
      <c r="AB277" s="68">
        <f t="shared" si="47"/>
        <v>1.0000000000000004</v>
      </c>
      <c r="AD277" s="306">
        <f t="shared" si="48"/>
        <v>1747.6411516273681</v>
      </c>
      <c r="AE277" s="242">
        <f t="shared" si="49"/>
        <v>24343.122115534065</v>
      </c>
      <c r="AF277" s="242">
        <f t="shared" si="50"/>
        <v>35595.503972178056</v>
      </c>
      <c r="AG277" s="242">
        <f t="shared" si="51"/>
        <v>34017.419731100032</v>
      </c>
      <c r="AH277" s="352">
        <f t="shared" si="52"/>
        <v>21580.033029560473</v>
      </c>
    </row>
    <row r="278" spans="2:34">
      <c r="B278" s="166" t="s">
        <v>406</v>
      </c>
      <c r="C278" s="150"/>
      <c r="D278" s="150" t="s">
        <v>118</v>
      </c>
      <c r="E278" s="150" t="s">
        <v>143</v>
      </c>
      <c r="F278" s="150" t="s">
        <v>829</v>
      </c>
      <c r="G278" s="146"/>
      <c r="H278" s="155"/>
      <c r="I278" s="135">
        <f t="shared" si="53"/>
        <v>0</v>
      </c>
      <c r="J278" s="147"/>
      <c r="K278" s="155">
        <v>766.39526933264995</v>
      </c>
      <c r="L278" s="88">
        <f t="shared" si="54"/>
        <v>399.68939300308148</v>
      </c>
      <c r="M278" s="160">
        <v>306320.06</v>
      </c>
      <c r="N278" s="167">
        <v>2016</v>
      </c>
      <c r="O278" s="167">
        <f>IFERROR(('General Input Sheet'!$G$38/(VLOOKUP(N278,'General Input Sheet'!$E$38:$G$44,3,FALSE))),1)</f>
        <v>1</v>
      </c>
      <c r="P278" s="189">
        <f t="shared" si="46"/>
        <v>306320.06</v>
      </c>
      <c r="Q278" s="89" t="str">
        <f t="shared" si="45"/>
        <v>y</v>
      </c>
      <c r="R278" s="89" t="str">
        <f t="shared" si="45"/>
        <v>y</v>
      </c>
      <c r="S278" s="89" t="str">
        <f t="shared" si="45"/>
        <v>y</v>
      </c>
      <c r="T278" s="89" t="str">
        <f t="shared" si="45"/>
        <v>y</v>
      </c>
      <c r="U278" s="254" t="str">
        <f t="shared" si="45"/>
        <v>y</v>
      </c>
      <c r="V278" s="308"/>
      <c r="W278" s="309" cm="1">
        <f t="array" ref="W278">_xlfn.IFS(AND(Q278="y",$D278="Local"), 1, AND(Q278="y",$D278&lt;&gt;"Local"),1.49009696454663%, Q278="","")</f>
        <v>1.49009696454663E-2</v>
      </c>
      <c r="X278" s="272" cm="1">
        <f t="array" ref="X278">_xlfn.IFS(AND(R278="y",$D278="Local"), 1, AND(R278="y",$D278&lt;&gt;"Local"),20.7557554582461%, R278="","")</f>
        <v>0.207557554582461</v>
      </c>
      <c r="Y278" s="272" cm="1">
        <f t="array" ref="Y278">_xlfn.IFS(AND(S278="y",$D278="Local"), 1, AND(S278="y",$D278&lt;&gt;"Local"),30.3499104327336%, S278="","")</f>
        <v>0.30349910432733601</v>
      </c>
      <c r="Z278" s="272" cm="1">
        <f t="array" ref="Z278">_xlfn.IFS(AND(T278="y",$D278="Local"), 1, AND(T278="y",$D278&lt;&gt;"Local"),29.0043833288201%, T278="","")</f>
        <v>0.29004383328820099</v>
      </c>
      <c r="AA278" s="272" cm="1">
        <f t="array" ref="AA278">_xlfn.IFS(AND(U278="y",$D278="Local"), 1, AND(U278="y",$D278&lt;&gt;"Local"),18.3998538156536%, U278="","")</f>
        <v>0.183998538156536</v>
      </c>
      <c r="AB278" s="68">
        <f t="shared" si="47"/>
        <v>1.0000000000000004</v>
      </c>
      <c r="AD278" s="306">
        <f t="shared" si="48"/>
        <v>4564.4659158574141</v>
      </c>
      <c r="AE278" s="242">
        <f t="shared" si="49"/>
        <v>63579.042573152699</v>
      </c>
      <c r="AF278" s="242">
        <f t="shared" si="50"/>
        <v>92967.863847495799</v>
      </c>
      <c r="AG278" s="242">
        <f t="shared" si="51"/>
        <v>88846.244415471694</v>
      </c>
      <c r="AH278" s="352">
        <f t="shared" si="52"/>
        <v>56362.44324802237</v>
      </c>
    </row>
    <row r="279" spans="2:34">
      <c r="B279" s="166" t="s">
        <v>407</v>
      </c>
      <c r="C279" s="150"/>
      <c r="D279" s="150" t="s">
        <v>118</v>
      </c>
      <c r="E279" s="150" t="s">
        <v>142</v>
      </c>
      <c r="F279" s="150" t="s">
        <v>830</v>
      </c>
      <c r="G279" s="146">
        <v>56000</v>
      </c>
      <c r="H279" s="155">
        <v>811</v>
      </c>
      <c r="I279" s="135">
        <f t="shared" si="53"/>
        <v>45</v>
      </c>
      <c r="J279" s="147">
        <v>92495</v>
      </c>
      <c r="K279" s="155">
        <v>1629.8501079115899</v>
      </c>
      <c r="L279" s="88">
        <f t="shared" si="54"/>
        <v>3.9482403742302075</v>
      </c>
      <c r="M279" s="160">
        <v>6435.04</v>
      </c>
      <c r="N279" s="167">
        <v>2016</v>
      </c>
      <c r="O279" s="167">
        <f>IFERROR(('General Input Sheet'!$G$38/(VLOOKUP(N279,'General Input Sheet'!$E$38:$G$44,3,FALSE))),1)</f>
        <v>1</v>
      </c>
      <c r="P279" s="189">
        <f t="shared" si="46"/>
        <v>98930.04</v>
      </c>
      <c r="Q279" s="89" t="str">
        <f t="shared" si="45"/>
        <v>y</v>
      </c>
      <c r="R279" s="89" t="str">
        <f t="shared" si="45"/>
        <v>y</v>
      </c>
      <c r="S279" s="89" t="str">
        <f t="shared" si="45"/>
        <v>y</v>
      </c>
      <c r="T279" s="89" t="str">
        <f t="shared" si="45"/>
        <v>y</v>
      </c>
      <c r="U279" s="254" t="str">
        <f t="shared" si="45"/>
        <v>y</v>
      </c>
      <c r="V279" s="308"/>
      <c r="W279" s="309" cm="1">
        <f t="array" ref="W279">_xlfn.IFS(AND(Q279="y",$D279="Local"), 1, AND(Q279="y",$D279&lt;&gt;"Local"),1.49009696454663%, Q279="","")</f>
        <v>1.49009696454663E-2</v>
      </c>
      <c r="X279" s="272" cm="1">
        <f t="array" ref="X279">_xlfn.IFS(AND(R279="y",$D279="Local"), 1, AND(R279="y",$D279&lt;&gt;"Local"),20.7557554582461%, R279="","")</f>
        <v>0.207557554582461</v>
      </c>
      <c r="Y279" s="272" cm="1">
        <f t="array" ref="Y279">_xlfn.IFS(AND(S279="y",$D279="Local"), 1, AND(S279="y",$D279&lt;&gt;"Local"),30.3499104327336%, S279="","")</f>
        <v>0.30349910432733601</v>
      </c>
      <c r="Z279" s="272" cm="1">
        <f t="array" ref="Z279">_xlfn.IFS(AND(T279="y",$D279="Local"), 1, AND(T279="y",$D279&lt;&gt;"Local"),29.0043833288201%, T279="","")</f>
        <v>0.29004383328820099</v>
      </c>
      <c r="AA279" s="272" cm="1">
        <f t="array" ref="AA279">_xlfn.IFS(AND(U279="y",$D279="Local"), 1, AND(U279="y",$D279&lt;&gt;"Local"),18.3998538156536%, U279="","")</f>
        <v>0.183998538156536</v>
      </c>
      <c r="AB279" s="68">
        <f t="shared" si="47"/>
        <v>1.0000000000000004</v>
      </c>
      <c r="AD279" s="306">
        <f t="shared" si="48"/>
        <v>1474.1535230647662</v>
      </c>
      <c r="AE279" s="242">
        <f t="shared" si="49"/>
        <v>20533.67717714504</v>
      </c>
      <c r="AF279" s="242">
        <f t="shared" si="50"/>
        <v>30025.178531067511</v>
      </c>
      <c r="AG279" s="242">
        <f t="shared" si="51"/>
        <v>28694.048028955043</v>
      </c>
      <c r="AH279" s="352">
        <f t="shared" si="52"/>
        <v>18202.982739767624</v>
      </c>
    </row>
    <row r="280" spans="2:34">
      <c r="B280" s="166" t="s">
        <v>408</v>
      </c>
      <c r="C280" s="150"/>
      <c r="D280" s="150" t="s">
        <v>118</v>
      </c>
      <c r="E280" s="150" t="s">
        <v>141</v>
      </c>
      <c r="F280" s="150" t="s">
        <v>831</v>
      </c>
      <c r="G280" s="146">
        <v>56000</v>
      </c>
      <c r="H280" s="155">
        <v>531</v>
      </c>
      <c r="I280" s="135">
        <f t="shared" si="53"/>
        <v>45</v>
      </c>
      <c r="J280" s="147">
        <v>79895</v>
      </c>
      <c r="K280" s="155">
        <v>6342.53658087036</v>
      </c>
      <c r="L280" s="88">
        <f t="shared" si="54"/>
        <v>49.597025730805129</v>
      </c>
      <c r="M280" s="160">
        <v>314570.95</v>
      </c>
      <c r="N280" s="167">
        <v>2016</v>
      </c>
      <c r="O280" s="167">
        <f>IFERROR(('General Input Sheet'!$G$38/(VLOOKUP(N280,'General Input Sheet'!$E$38:$G$44,3,FALSE))),1)</f>
        <v>1</v>
      </c>
      <c r="P280" s="189">
        <f t="shared" si="46"/>
        <v>394465.95</v>
      </c>
      <c r="Q280" s="89" t="str">
        <f t="shared" si="45"/>
        <v>y</v>
      </c>
      <c r="R280" s="89" t="str">
        <f t="shared" si="45"/>
        <v>y</v>
      </c>
      <c r="S280" s="89" t="str">
        <f t="shared" si="45"/>
        <v>y</v>
      </c>
      <c r="T280" s="89" t="str">
        <f t="shared" si="45"/>
        <v>y</v>
      </c>
      <c r="U280" s="254" t="str">
        <f t="shared" si="45"/>
        <v>y</v>
      </c>
      <c r="V280" s="308"/>
      <c r="W280" s="309" cm="1">
        <f t="array" ref="W280">_xlfn.IFS(AND(Q280="y",$D280="Local"), 1, AND(Q280="y",$D280&lt;&gt;"Local"),1.49009696454663%, Q280="","")</f>
        <v>1.49009696454663E-2</v>
      </c>
      <c r="X280" s="272" cm="1">
        <f t="array" ref="X280">_xlfn.IFS(AND(R280="y",$D280="Local"), 1, AND(R280="y",$D280&lt;&gt;"Local"),20.7557554582461%, R280="","")</f>
        <v>0.207557554582461</v>
      </c>
      <c r="Y280" s="272" cm="1">
        <f t="array" ref="Y280">_xlfn.IFS(AND(S280="y",$D280="Local"), 1, AND(S280="y",$D280&lt;&gt;"Local"),30.3499104327336%, S280="","")</f>
        <v>0.30349910432733601</v>
      </c>
      <c r="Z280" s="272" cm="1">
        <f t="array" ref="Z280">_xlfn.IFS(AND(T280="y",$D280="Local"), 1, AND(T280="y",$D280&lt;&gt;"Local"),29.0043833288201%, T280="","")</f>
        <v>0.29004383328820099</v>
      </c>
      <c r="AA280" s="272" cm="1">
        <f t="array" ref="AA280">_xlfn.IFS(AND(U280="y",$D280="Local"), 1, AND(U280="y",$D280&lt;&gt;"Local"),18.3998538156536%, U280="","")</f>
        <v>0.183998538156536</v>
      </c>
      <c r="AB280" s="68">
        <f t="shared" si="47"/>
        <v>1.0000000000000004</v>
      </c>
      <c r="AD280" s="306">
        <f t="shared" si="48"/>
        <v>5877.925147120025</v>
      </c>
      <c r="AE280" s="242">
        <f t="shared" si="49"/>
        <v>81874.387948047297</v>
      </c>
      <c r="AF280" s="242">
        <f t="shared" si="50"/>
        <v>119720.06251263167</v>
      </c>
      <c r="AG280" s="242">
        <f t="shared" si="51"/>
        <v>114412.41623967179</v>
      </c>
      <c r="AH280" s="352">
        <f t="shared" si="52"/>
        <v>72581.158152529184</v>
      </c>
    </row>
    <row r="281" spans="2:34">
      <c r="B281" s="166" t="s">
        <v>409</v>
      </c>
      <c r="C281" s="150"/>
      <c r="D281" s="150" t="s">
        <v>116</v>
      </c>
      <c r="E281" s="150" t="s">
        <v>140</v>
      </c>
      <c r="F281" s="150" t="s">
        <v>832</v>
      </c>
      <c r="G281" s="146"/>
      <c r="H281" s="155"/>
      <c r="I281" s="135">
        <f t="shared" si="53"/>
        <v>0</v>
      </c>
      <c r="J281" s="147"/>
      <c r="K281" s="155">
        <v>272.154184302705</v>
      </c>
      <c r="L281" s="88">
        <f t="shared" si="54"/>
        <v>379.52368898769635</v>
      </c>
      <c r="M281" s="160">
        <v>103288.96000000001</v>
      </c>
      <c r="N281" s="167">
        <v>2016</v>
      </c>
      <c r="O281" s="167">
        <f>IFERROR(('General Input Sheet'!$G$38/(VLOOKUP(N281,'General Input Sheet'!$E$38:$G$44,3,FALSE))),1)</f>
        <v>1</v>
      </c>
      <c r="P281" s="189">
        <f t="shared" si="46"/>
        <v>103288.96000000001</v>
      </c>
      <c r="Q281" s="89" t="str">
        <f t="shared" si="45"/>
        <v/>
      </c>
      <c r="R281" s="89" t="str">
        <f t="shared" si="45"/>
        <v>y</v>
      </c>
      <c r="S281" s="89" t="str">
        <f t="shared" si="45"/>
        <v/>
      </c>
      <c r="T281" s="89" t="str">
        <f t="shared" si="45"/>
        <v/>
      </c>
      <c r="U281" s="254" t="str">
        <f t="shared" si="45"/>
        <v/>
      </c>
      <c r="V281" s="308"/>
      <c r="W281" s="309" t="str" cm="1">
        <f t="array" ref="W281">_xlfn.IFS(AND(Q281="y",$D281="Local"), 1, AND(Q281="y",$D281&lt;&gt;"Local"),1.49009696454663%, Q281="","")</f>
        <v/>
      </c>
      <c r="X281" s="272" cm="1">
        <f t="array" ref="X281">_xlfn.IFS(AND(R281="y",$D281="Local"), 1, AND(R281="y",$D281&lt;&gt;"Local"),20.7557554582461%, R281="","")</f>
        <v>1</v>
      </c>
      <c r="Y281" s="272" t="str" cm="1">
        <f t="array" ref="Y281">_xlfn.IFS(AND(S281="y",$D281="Local"), 1, AND(S281="y",$D281&lt;&gt;"Local"),30.3499104327336%, S281="","")</f>
        <v/>
      </c>
      <c r="Z281" s="272" t="str" cm="1">
        <f t="array" ref="Z281">_xlfn.IFS(AND(T281="y",$D281="Local"), 1, AND(T281="y",$D281&lt;&gt;"Local"),29.0043833288201%, T281="","")</f>
        <v/>
      </c>
      <c r="AA281" s="272" t="str" cm="1">
        <f t="array" ref="AA281">_xlfn.IFS(AND(U281="y",$D281="Local"), 1, AND(U281="y",$D281&lt;&gt;"Local"),18.3998538156536%, U281="","")</f>
        <v/>
      </c>
      <c r="AB281" s="68">
        <f t="shared" si="47"/>
        <v>1</v>
      </c>
      <c r="AD281" s="306" t="str">
        <f t="shared" si="48"/>
        <v/>
      </c>
      <c r="AE281" s="242">
        <f t="shared" si="49"/>
        <v>103288.96000000001</v>
      </c>
      <c r="AF281" s="242" t="str">
        <f t="shared" si="50"/>
        <v/>
      </c>
      <c r="AG281" s="242" t="str">
        <f t="shared" si="51"/>
        <v/>
      </c>
      <c r="AH281" s="352" t="str">
        <f t="shared" si="52"/>
        <v/>
      </c>
    </row>
    <row r="282" spans="2:34">
      <c r="B282" s="166" t="s">
        <v>410</v>
      </c>
      <c r="C282" s="150"/>
      <c r="D282" s="150" t="s">
        <v>118</v>
      </c>
      <c r="E282" s="150" t="s">
        <v>141</v>
      </c>
      <c r="F282" s="150" t="s">
        <v>833</v>
      </c>
      <c r="G282" s="146"/>
      <c r="H282" s="155"/>
      <c r="I282" s="135">
        <f t="shared" si="53"/>
        <v>0</v>
      </c>
      <c r="J282" s="147"/>
      <c r="K282" s="155">
        <v>544.25910716426404</v>
      </c>
      <c r="L282" s="88">
        <f t="shared" si="54"/>
        <v>437.57399162476912</v>
      </c>
      <c r="M282" s="160">
        <v>238153.63</v>
      </c>
      <c r="N282" s="167">
        <v>2016</v>
      </c>
      <c r="O282" s="167">
        <f>IFERROR(('General Input Sheet'!$G$38/(VLOOKUP(N282,'General Input Sheet'!$E$38:$G$44,3,FALSE))),1)</f>
        <v>1</v>
      </c>
      <c r="P282" s="189">
        <f t="shared" si="46"/>
        <v>238153.63</v>
      </c>
      <c r="Q282" s="89" t="str">
        <f t="shared" si="45"/>
        <v>y</v>
      </c>
      <c r="R282" s="89" t="str">
        <f t="shared" si="45"/>
        <v>y</v>
      </c>
      <c r="S282" s="89" t="str">
        <f t="shared" si="45"/>
        <v>y</v>
      </c>
      <c r="T282" s="89" t="str">
        <f t="shared" si="45"/>
        <v>y</v>
      </c>
      <c r="U282" s="254" t="str">
        <f t="shared" si="45"/>
        <v>y</v>
      </c>
      <c r="V282" s="308"/>
      <c r="W282" s="309" cm="1">
        <f t="array" ref="W282">_xlfn.IFS(AND(Q282="y",$D282="Local"), 1, AND(Q282="y",$D282&lt;&gt;"Local"),1.49009696454663%, Q282="","")</f>
        <v>1.49009696454663E-2</v>
      </c>
      <c r="X282" s="272" cm="1">
        <f t="array" ref="X282">_xlfn.IFS(AND(R282="y",$D282="Local"), 1, AND(R282="y",$D282&lt;&gt;"Local"),20.7557554582461%, R282="","")</f>
        <v>0.207557554582461</v>
      </c>
      <c r="Y282" s="272" cm="1">
        <f t="array" ref="Y282">_xlfn.IFS(AND(S282="y",$D282="Local"), 1, AND(S282="y",$D282&lt;&gt;"Local"),30.3499104327336%, S282="","")</f>
        <v>0.30349910432733601</v>
      </c>
      <c r="Z282" s="272" cm="1">
        <f t="array" ref="Z282">_xlfn.IFS(AND(T282="y",$D282="Local"), 1, AND(T282="y",$D282&lt;&gt;"Local"),29.0043833288201%, T282="","")</f>
        <v>0.29004383328820099</v>
      </c>
      <c r="AA282" s="272" cm="1">
        <f t="array" ref="AA282">_xlfn.IFS(AND(U282="y",$D282="Local"), 1, AND(U282="y",$D282&lt;&gt;"Local"),18.3998538156536%, U282="","")</f>
        <v>0.183998538156536</v>
      </c>
      <c r="AB282" s="68">
        <f t="shared" si="47"/>
        <v>1.0000000000000004</v>
      </c>
      <c r="AD282" s="306">
        <f t="shared" si="48"/>
        <v>3548.7200115876108</v>
      </c>
      <c r="AE282" s="242">
        <f t="shared" si="49"/>
        <v>49430.5850577362</v>
      </c>
      <c r="AF282" s="242">
        <f t="shared" si="50"/>
        <v>72279.413397303753</v>
      </c>
      <c r="AG282" s="242">
        <f t="shared" si="51"/>
        <v>69074.991756699877</v>
      </c>
      <c r="AH282" s="352">
        <f t="shared" si="52"/>
        <v>43819.919776672534</v>
      </c>
    </row>
    <row r="283" spans="2:34">
      <c r="B283" s="166" t="s">
        <v>411</v>
      </c>
      <c r="C283" s="150"/>
      <c r="D283" s="150" t="s">
        <v>116</v>
      </c>
      <c r="E283" s="150" t="s">
        <v>140</v>
      </c>
      <c r="F283" s="150" t="s">
        <v>834</v>
      </c>
      <c r="G283" s="146"/>
      <c r="H283" s="155"/>
      <c r="I283" s="135">
        <f t="shared" si="53"/>
        <v>0</v>
      </c>
      <c r="J283" s="147"/>
      <c r="K283" s="155">
        <v>655.56217403572896</v>
      </c>
      <c r="L283" s="88">
        <f t="shared" si="54"/>
        <v>142.05715901315023</v>
      </c>
      <c r="M283" s="160">
        <v>93127.3</v>
      </c>
      <c r="N283" s="167">
        <v>2016</v>
      </c>
      <c r="O283" s="167">
        <f>IFERROR(('General Input Sheet'!$G$38/(VLOOKUP(N283,'General Input Sheet'!$E$38:$G$44,3,FALSE))),1)</f>
        <v>1</v>
      </c>
      <c r="P283" s="189">
        <f t="shared" si="46"/>
        <v>93127.3</v>
      </c>
      <c r="Q283" s="89" t="str">
        <f t="shared" si="45"/>
        <v/>
      </c>
      <c r="R283" s="89" t="str">
        <f t="shared" si="45"/>
        <v>y</v>
      </c>
      <c r="S283" s="89" t="str">
        <f t="shared" si="45"/>
        <v/>
      </c>
      <c r="T283" s="89" t="str">
        <f t="shared" si="45"/>
        <v/>
      </c>
      <c r="U283" s="254" t="str">
        <f t="shared" si="45"/>
        <v/>
      </c>
      <c r="V283" s="308"/>
      <c r="W283" s="309" t="str" cm="1">
        <f t="array" ref="W283">_xlfn.IFS(AND(Q283="y",$D283="Local"), 1, AND(Q283="y",$D283&lt;&gt;"Local"),1.49009696454663%, Q283="","")</f>
        <v/>
      </c>
      <c r="X283" s="272" cm="1">
        <f t="array" ref="X283">_xlfn.IFS(AND(R283="y",$D283="Local"), 1, AND(R283="y",$D283&lt;&gt;"Local"),20.7557554582461%, R283="","")</f>
        <v>1</v>
      </c>
      <c r="Y283" s="272" t="str" cm="1">
        <f t="array" ref="Y283">_xlfn.IFS(AND(S283="y",$D283="Local"), 1, AND(S283="y",$D283&lt;&gt;"Local"),30.3499104327336%, S283="","")</f>
        <v/>
      </c>
      <c r="Z283" s="272" t="str" cm="1">
        <f t="array" ref="Z283">_xlfn.IFS(AND(T283="y",$D283="Local"), 1, AND(T283="y",$D283&lt;&gt;"Local"),29.0043833288201%, T283="","")</f>
        <v/>
      </c>
      <c r="AA283" s="272" t="str" cm="1">
        <f t="array" ref="AA283">_xlfn.IFS(AND(U283="y",$D283="Local"), 1, AND(U283="y",$D283&lt;&gt;"Local"),18.3998538156536%, U283="","")</f>
        <v/>
      </c>
      <c r="AB283" s="68">
        <f t="shared" si="47"/>
        <v>1</v>
      </c>
      <c r="AD283" s="306" t="str">
        <f t="shared" si="48"/>
        <v/>
      </c>
      <c r="AE283" s="242">
        <f t="shared" si="49"/>
        <v>93127.3</v>
      </c>
      <c r="AF283" s="242" t="str">
        <f t="shared" si="50"/>
        <v/>
      </c>
      <c r="AG283" s="242" t="str">
        <f t="shared" si="51"/>
        <v/>
      </c>
      <c r="AH283" s="352" t="str">
        <f t="shared" si="52"/>
        <v/>
      </c>
    </row>
    <row r="284" spans="2:34">
      <c r="B284" s="166" t="s">
        <v>412</v>
      </c>
      <c r="C284" s="150"/>
      <c r="D284" s="150" t="s">
        <v>118</v>
      </c>
      <c r="E284" s="150" t="s">
        <v>142</v>
      </c>
      <c r="F284" s="150" t="s">
        <v>835</v>
      </c>
      <c r="G284" s="146"/>
      <c r="H284" s="155"/>
      <c r="I284" s="135">
        <f t="shared" si="53"/>
        <v>0</v>
      </c>
      <c r="J284" s="147"/>
      <c r="K284" s="155">
        <v>796.08617413545596</v>
      </c>
      <c r="L284" s="88">
        <f t="shared" si="54"/>
        <v>157.2478006365927</v>
      </c>
      <c r="M284" s="160">
        <v>125182.8</v>
      </c>
      <c r="N284" s="167">
        <v>2016</v>
      </c>
      <c r="O284" s="167">
        <f>IFERROR(('General Input Sheet'!$G$38/(VLOOKUP(N284,'General Input Sheet'!$E$38:$G$44,3,FALSE))),1)</f>
        <v>1</v>
      </c>
      <c r="P284" s="189">
        <f t="shared" si="46"/>
        <v>125182.8</v>
      </c>
      <c r="Q284" s="89" t="str">
        <f t="shared" si="45"/>
        <v>y</v>
      </c>
      <c r="R284" s="89" t="str">
        <f t="shared" si="45"/>
        <v>y</v>
      </c>
      <c r="S284" s="89" t="str">
        <f t="shared" si="45"/>
        <v>y</v>
      </c>
      <c r="T284" s="89" t="str">
        <f t="shared" si="45"/>
        <v>y</v>
      </c>
      <c r="U284" s="254" t="str">
        <f t="shared" si="45"/>
        <v>y</v>
      </c>
      <c r="V284" s="308"/>
      <c r="W284" s="309" cm="1">
        <f t="array" ref="W284">_xlfn.IFS(AND(Q284="y",$D284="Local"), 1, AND(Q284="y",$D284&lt;&gt;"Local"),1.49009696454663%, Q284="","")</f>
        <v>1.49009696454663E-2</v>
      </c>
      <c r="X284" s="272" cm="1">
        <f t="array" ref="X284">_xlfn.IFS(AND(R284="y",$D284="Local"), 1, AND(R284="y",$D284&lt;&gt;"Local"),20.7557554582461%, R284="","")</f>
        <v>0.207557554582461</v>
      </c>
      <c r="Y284" s="272" cm="1">
        <f t="array" ref="Y284">_xlfn.IFS(AND(S284="y",$D284="Local"), 1, AND(S284="y",$D284&lt;&gt;"Local"),30.3499104327336%, S284="","")</f>
        <v>0.30349910432733601</v>
      </c>
      <c r="Z284" s="272" cm="1">
        <f t="array" ref="Z284">_xlfn.IFS(AND(T284="y",$D284="Local"), 1, AND(T284="y",$D284&lt;&gt;"Local"),29.0043833288201%, T284="","")</f>
        <v>0.29004383328820099</v>
      </c>
      <c r="AA284" s="272" cm="1">
        <f t="array" ref="AA284">_xlfn.IFS(AND(U284="y",$D284="Local"), 1, AND(U284="y",$D284&lt;&gt;"Local"),18.3998538156536%, U284="","")</f>
        <v>0.183998538156536</v>
      </c>
      <c r="AB284" s="68">
        <f t="shared" si="47"/>
        <v>1.0000000000000004</v>
      </c>
      <c r="AD284" s="306">
        <f t="shared" si="48"/>
        <v>1865.3451029344778</v>
      </c>
      <c r="AE284" s="242">
        <f t="shared" si="49"/>
        <v>25982.63584378529</v>
      </c>
      <c r="AF284" s="242">
        <f t="shared" si="50"/>
        <v>37992.867677188027</v>
      </c>
      <c r="AG284" s="242">
        <f t="shared" si="51"/>
        <v>36308.499173750191</v>
      </c>
      <c r="AH284" s="352">
        <f t="shared" si="52"/>
        <v>23033.452202342003</v>
      </c>
    </row>
    <row r="285" spans="2:34">
      <c r="B285" s="166" t="s">
        <v>413</v>
      </c>
      <c r="C285" s="150"/>
      <c r="D285" s="150" t="s">
        <v>118</v>
      </c>
      <c r="E285" s="150" t="s">
        <v>142</v>
      </c>
      <c r="F285" s="150" t="s">
        <v>836</v>
      </c>
      <c r="G285" s="146">
        <v>56000</v>
      </c>
      <c r="H285" s="155">
        <v>7990</v>
      </c>
      <c r="I285" s="135">
        <f t="shared" si="53"/>
        <v>45</v>
      </c>
      <c r="J285" s="147">
        <v>415550</v>
      </c>
      <c r="K285" s="155">
        <v>8248.6839986188606</v>
      </c>
      <c r="L285" s="88">
        <f t="shared" si="54"/>
        <v>126.46744622229063</v>
      </c>
      <c r="M285" s="160">
        <v>1043190</v>
      </c>
      <c r="N285" s="167">
        <v>2016</v>
      </c>
      <c r="O285" s="167">
        <f>IFERROR(('General Input Sheet'!$G$38/(VLOOKUP(N285,'General Input Sheet'!$E$38:$G$44,3,FALSE))),1)</f>
        <v>1</v>
      </c>
      <c r="P285" s="189">
        <f t="shared" si="46"/>
        <v>1458740</v>
      </c>
      <c r="Q285" s="89" t="str">
        <f t="shared" ref="Q285:U335" si="55">IF(OR(Q$9=$E285,$D285="Metropolitan",$D285="District"),"y","")</f>
        <v>y</v>
      </c>
      <c r="R285" s="89" t="str">
        <f t="shared" si="55"/>
        <v>y</v>
      </c>
      <c r="S285" s="89" t="str">
        <f t="shared" si="55"/>
        <v>y</v>
      </c>
      <c r="T285" s="89" t="str">
        <f t="shared" si="55"/>
        <v>y</v>
      </c>
      <c r="U285" s="254" t="str">
        <f t="shared" si="55"/>
        <v>y</v>
      </c>
      <c r="V285" s="308"/>
      <c r="W285" s="309" cm="1">
        <f t="array" ref="W285">_xlfn.IFS(AND(Q285="y",$D285="Local"), 1, AND(Q285="y",$D285&lt;&gt;"Local"),1.49009696454663%, Q285="","")</f>
        <v>1.49009696454663E-2</v>
      </c>
      <c r="X285" s="272" cm="1">
        <f t="array" ref="X285">_xlfn.IFS(AND(R285="y",$D285="Local"), 1, AND(R285="y",$D285&lt;&gt;"Local"),20.7557554582461%, R285="","")</f>
        <v>0.207557554582461</v>
      </c>
      <c r="Y285" s="272" cm="1">
        <f t="array" ref="Y285">_xlfn.IFS(AND(S285="y",$D285="Local"), 1, AND(S285="y",$D285&lt;&gt;"Local"),30.3499104327336%, S285="","")</f>
        <v>0.30349910432733601</v>
      </c>
      <c r="Z285" s="272" cm="1">
        <f t="array" ref="Z285">_xlfn.IFS(AND(T285="y",$D285="Local"), 1, AND(T285="y",$D285&lt;&gt;"Local"),29.0043833288201%, T285="","")</f>
        <v>0.29004383328820099</v>
      </c>
      <c r="AA285" s="272" cm="1">
        <f t="array" ref="AA285">_xlfn.IFS(AND(U285="y",$D285="Local"), 1, AND(U285="y",$D285&lt;&gt;"Local"),18.3998538156536%, U285="","")</f>
        <v>0.183998538156536</v>
      </c>
      <c r="AB285" s="68">
        <f t="shared" si="47"/>
        <v>1.0000000000000004</v>
      </c>
      <c r="AD285" s="306">
        <f t="shared" si="48"/>
        <v>21736.640460627499</v>
      </c>
      <c r="AE285" s="242">
        <f t="shared" si="49"/>
        <v>302772.50717161904</v>
      </c>
      <c r="AF285" s="242">
        <f t="shared" si="50"/>
        <v>442726.28344645799</v>
      </c>
      <c r="AG285" s="242">
        <f t="shared" si="51"/>
        <v>423098.54137083015</v>
      </c>
      <c r="AH285" s="352">
        <f t="shared" si="52"/>
        <v>268406.02755046519</v>
      </c>
    </row>
    <row r="286" spans="2:34">
      <c r="B286" s="166" t="s">
        <v>414</v>
      </c>
      <c r="C286" s="150"/>
      <c r="D286" s="150" t="s">
        <v>118</v>
      </c>
      <c r="E286" s="150" t="s">
        <v>143</v>
      </c>
      <c r="F286" s="150" t="s">
        <v>837</v>
      </c>
      <c r="G286" s="146"/>
      <c r="H286" s="155"/>
      <c r="I286" s="135">
        <f t="shared" si="53"/>
        <v>0</v>
      </c>
      <c r="J286" s="147"/>
      <c r="K286" s="155">
        <v>2965.01797661621</v>
      </c>
      <c r="L286" s="88">
        <f t="shared" si="54"/>
        <v>19.11433605022486</v>
      </c>
      <c r="M286" s="160">
        <v>56674.35</v>
      </c>
      <c r="N286" s="167">
        <v>2016</v>
      </c>
      <c r="O286" s="167">
        <f>IFERROR(('General Input Sheet'!$G$38/(VLOOKUP(N286,'General Input Sheet'!$E$38:$G$44,3,FALSE))),1)</f>
        <v>1</v>
      </c>
      <c r="P286" s="189">
        <f t="shared" si="46"/>
        <v>56674.35</v>
      </c>
      <c r="Q286" s="89" t="str">
        <f t="shared" si="55"/>
        <v>y</v>
      </c>
      <c r="R286" s="89" t="str">
        <f t="shared" si="55"/>
        <v>y</v>
      </c>
      <c r="S286" s="89" t="str">
        <f t="shared" si="55"/>
        <v>y</v>
      </c>
      <c r="T286" s="89" t="str">
        <f t="shared" si="55"/>
        <v>y</v>
      </c>
      <c r="U286" s="254" t="str">
        <f t="shared" si="55"/>
        <v>y</v>
      </c>
      <c r="V286" s="308"/>
      <c r="W286" s="309" cm="1">
        <f t="array" ref="W286">_xlfn.IFS(AND(Q286="y",$D286="Local"), 1, AND(Q286="y",$D286&lt;&gt;"Local"),1.49009696454663%, Q286="","")</f>
        <v>1.49009696454663E-2</v>
      </c>
      <c r="X286" s="272" cm="1">
        <f t="array" ref="X286">_xlfn.IFS(AND(R286="y",$D286="Local"), 1, AND(R286="y",$D286&lt;&gt;"Local"),20.7557554582461%, R286="","")</f>
        <v>0.207557554582461</v>
      </c>
      <c r="Y286" s="272" cm="1">
        <f t="array" ref="Y286">_xlfn.IFS(AND(S286="y",$D286="Local"), 1, AND(S286="y",$D286&lt;&gt;"Local"),30.3499104327336%, S286="","")</f>
        <v>0.30349910432733601</v>
      </c>
      <c r="Z286" s="272" cm="1">
        <f t="array" ref="Z286">_xlfn.IFS(AND(T286="y",$D286="Local"), 1, AND(T286="y",$D286&lt;&gt;"Local"),29.0043833288201%, T286="","")</f>
        <v>0.29004383328820099</v>
      </c>
      <c r="AA286" s="272" cm="1">
        <f t="array" ref="AA286">_xlfn.IFS(AND(U286="y",$D286="Local"), 1, AND(U286="y",$D286&lt;&gt;"Local"),18.3998538156536%, U286="","")</f>
        <v>0.183998538156536</v>
      </c>
      <c r="AB286" s="68">
        <f t="shared" si="47"/>
        <v>1.0000000000000004</v>
      </c>
      <c r="AD286" s="306">
        <f t="shared" si="48"/>
        <v>844.50276902653263</v>
      </c>
      <c r="AE286" s="242">
        <f t="shared" si="49"/>
        <v>11763.189493550493</v>
      </c>
      <c r="AF286" s="242">
        <f t="shared" si="50"/>
        <v>17200.61446333395</v>
      </c>
      <c r="AG286" s="242">
        <f t="shared" si="51"/>
        <v>16438.045723117146</v>
      </c>
      <c r="AH286" s="352">
        <f t="shared" si="52"/>
        <v>10427.997550971872</v>
      </c>
    </row>
    <row r="287" spans="2:34">
      <c r="B287" s="166" t="s">
        <v>415</v>
      </c>
      <c r="C287" s="150"/>
      <c r="D287" s="150" t="s">
        <v>118</v>
      </c>
      <c r="E287" s="150" t="s">
        <v>141</v>
      </c>
      <c r="F287" s="150" t="s">
        <v>838</v>
      </c>
      <c r="G287" s="146"/>
      <c r="H287" s="155"/>
      <c r="I287" s="135">
        <f t="shared" si="53"/>
        <v>0</v>
      </c>
      <c r="J287" s="147"/>
      <c r="K287" s="155">
        <v>473.64469538640498</v>
      </c>
      <c r="L287" s="88">
        <f t="shared" si="54"/>
        <v>462.36715439479173</v>
      </c>
      <c r="M287" s="160">
        <v>218997.75</v>
      </c>
      <c r="N287" s="167">
        <v>2016</v>
      </c>
      <c r="O287" s="167">
        <f>IFERROR(('General Input Sheet'!$G$38/(VLOOKUP(N287,'General Input Sheet'!$E$38:$G$44,3,FALSE))),1)</f>
        <v>1</v>
      </c>
      <c r="P287" s="189">
        <f t="shared" si="46"/>
        <v>218997.75</v>
      </c>
      <c r="Q287" s="89" t="str">
        <f t="shared" si="55"/>
        <v>y</v>
      </c>
      <c r="R287" s="89" t="str">
        <f t="shared" si="55"/>
        <v>y</v>
      </c>
      <c r="S287" s="89" t="str">
        <f t="shared" si="55"/>
        <v>y</v>
      </c>
      <c r="T287" s="89" t="str">
        <f t="shared" si="55"/>
        <v>y</v>
      </c>
      <c r="U287" s="254" t="str">
        <f t="shared" si="55"/>
        <v>y</v>
      </c>
      <c r="V287" s="308"/>
      <c r="W287" s="309" cm="1">
        <f t="array" ref="W287">_xlfn.IFS(AND(Q287="y",$D287="Local"), 1, AND(Q287="y",$D287&lt;&gt;"Local"),1.49009696454663%, Q287="","")</f>
        <v>1.49009696454663E-2</v>
      </c>
      <c r="X287" s="272" cm="1">
        <f t="array" ref="X287">_xlfn.IFS(AND(R287="y",$D287="Local"), 1, AND(R287="y",$D287&lt;&gt;"Local"),20.7557554582461%, R287="","")</f>
        <v>0.207557554582461</v>
      </c>
      <c r="Y287" s="272" cm="1">
        <f t="array" ref="Y287">_xlfn.IFS(AND(S287="y",$D287="Local"), 1, AND(S287="y",$D287&lt;&gt;"Local"),30.3499104327336%, S287="","")</f>
        <v>0.30349910432733601</v>
      </c>
      <c r="Z287" s="272" cm="1">
        <f t="array" ref="Z287">_xlfn.IFS(AND(T287="y",$D287="Local"), 1, AND(T287="y",$D287&lt;&gt;"Local"),29.0043833288201%, T287="","")</f>
        <v>0.29004383328820099</v>
      </c>
      <c r="AA287" s="272" cm="1">
        <f t="array" ref="AA287">_xlfn.IFS(AND(U287="y",$D287="Local"), 1, AND(U287="y",$D287&lt;&gt;"Local"),18.3998538156536%, U287="","")</f>
        <v>0.183998538156536</v>
      </c>
      <c r="AB287" s="68">
        <f t="shared" si="47"/>
        <v>1.0000000000000004</v>
      </c>
      <c r="AD287" s="306">
        <f t="shared" si="48"/>
        <v>3263.2788251754159</v>
      </c>
      <c r="AE287" s="242">
        <f t="shared" si="49"/>
        <v>45454.637449061127</v>
      </c>
      <c r="AF287" s="242">
        <f t="shared" si="50"/>
        <v>66465.620974701829</v>
      </c>
      <c r="AG287" s="242">
        <f t="shared" si="51"/>
        <v>63518.946891491098</v>
      </c>
      <c r="AH287" s="352">
        <f t="shared" si="52"/>
        <v>40295.265859570514</v>
      </c>
    </row>
    <row r="288" spans="2:34">
      <c r="B288" s="166" t="s">
        <v>416</v>
      </c>
      <c r="C288" s="150"/>
      <c r="D288" s="150" t="s">
        <v>116</v>
      </c>
      <c r="E288" s="150" t="s">
        <v>140</v>
      </c>
      <c r="F288" s="150" t="s">
        <v>839</v>
      </c>
      <c r="G288" s="146"/>
      <c r="H288" s="155"/>
      <c r="I288" s="135">
        <f t="shared" si="53"/>
        <v>0</v>
      </c>
      <c r="J288" s="147"/>
      <c r="K288" s="155">
        <v>283.98973663426</v>
      </c>
      <c r="L288" s="88">
        <f t="shared" si="54"/>
        <v>371.82385973332151</v>
      </c>
      <c r="M288" s="160">
        <v>105594.16</v>
      </c>
      <c r="N288" s="167">
        <v>2016</v>
      </c>
      <c r="O288" s="167">
        <f>IFERROR(('General Input Sheet'!$G$38/(VLOOKUP(N288,'General Input Sheet'!$E$38:$G$44,3,FALSE))),1)</f>
        <v>1</v>
      </c>
      <c r="P288" s="189">
        <f t="shared" si="46"/>
        <v>105594.16</v>
      </c>
      <c r="Q288" s="89" t="str">
        <f t="shared" si="55"/>
        <v/>
      </c>
      <c r="R288" s="89" t="str">
        <f t="shared" si="55"/>
        <v>y</v>
      </c>
      <c r="S288" s="89" t="str">
        <f t="shared" si="55"/>
        <v/>
      </c>
      <c r="T288" s="89" t="str">
        <f t="shared" si="55"/>
        <v/>
      </c>
      <c r="U288" s="254" t="str">
        <f t="shared" si="55"/>
        <v/>
      </c>
      <c r="V288" s="308"/>
      <c r="W288" s="309" t="str" cm="1">
        <f t="array" ref="W288">_xlfn.IFS(AND(Q288="y",$D288="Local"), 1, AND(Q288="y",$D288&lt;&gt;"Local"),1.49009696454663%, Q288="","")</f>
        <v/>
      </c>
      <c r="X288" s="272" cm="1">
        <f t="array" ref="X288">_xlfn.IFS(AND(R288="y",$D288="Local"), 1, AND(R288="y",$D288&lt;&gt;"Local"),20.7557554582461%, R288="","")</f>
        <v>1</v>
      </c>
      <c r="Y288" s="272" t="str" cm="1">
        <f t="array" ref="Y288">_xlfn.IFS(AND(S288="y",$D288="Local"), 1, AND(S288="y",$D288&lt;&gt;"Local"),30.3499104327336%, S288="","")</f>
        <v/>
      </c>
      <c r="Z288" s="272" t="str" cm="1">
        <f t="array" ref="Z288">_xlfn.IFS(AND(T288="y",$D288="Local"), 1, AND(T288="y",$D288&lt;&gt;"Local"),29.0043833288201%, T288="","")</f>
        <v/>
      </c>
      <c r="AA288" s="272" t="str" cm="1">
        <f t="array" ref="AA288">_xlfn.IFS(AND(U288="y",$D288="Local"), 1, AND(U288="y",$D288&lt;&gt;"Local"),18.3998538156536%, U288="","")</f>
        <v/>
      </c>
      <c r="AB288" s="68">
        <f t="shared" si="47"/>
        <v>1</v>
      </c>
      <c r="AD288" s="306" t="str">
        <f t="shared" si="48"/>
        <v/>
      </c>
      <c r="AE288" s="242">
        <f t="shared" si="49"/>
        <v>105594.16</v>
      </c>
      <c r="AF288" s="242" t="str">
        <f t="shared" si="50"/>
        <v/>
      </c>
      <c r="AG288" s="242" t="str">
        <f t="shared" si="51"/>
        <v/>
      </c>
      <c r="AH288" s="352" t="str">
        <f t="shared" si="52"/>
        <v/>
      </c>
    </row>
    <row r="289" spans="2:34">
      <c r="B289" s="166" t="s">
        <v>417</v>
      </c>
      <c r="C289" s="150"/>
      <c r="D289" s="150" t="s">
        <v>116</v>
      </c>
      <c r="E289" s="150" t="s">
        <v>140</v>
      </c>
      <c r="F289" s="150" t="s">
        <v>840</v>
      </c>
      <c r="G289" s="146">
        <v>56000</v>
      </c>
      <c r="H289" s="155">
        <v>810</v>
      </c>
      <c r="I289" s="135">
        <f t="shared" si="53"/>
        <v>45</v>
      </c>
      <c r="J289" s="147">
        <v>92450</v>
      </c>
      <c r="K289" s="155">
        <v>285.842840107999</v>
      </c>
      <c r="L289" s="88">
        <f t="shared" si="54"/>
        <v>371.09566907438381</v>
      </c>
      <c r="M289" s="160">
        <v>106075.04</v>
      </c>
      <c r="N289" s="167">
        <v>2016</v>
      </c>
      <c r="O289" s="167">
        <f>IFERROR(('General Input Sheet'!$G$38/(VLOOKUP(N289,'General Input Sheet'!$E$38:$G$44,3,FALSE))),1)</f>
        <v>1</v>
      </c>
      <c r="P289" s="189">
        <f t="shared" si="46"/>
        <v>198525.03999999998</v>
      </c>
      <c r="Q289" s="89" t="str">
        <f t="shared" si="55"/>
        <v/>
      </c>
      <c r="R289" s="89" t="str">
        <f t="shared" si="55"/>
        <v>y</v>
      </c>
      <c r="S289" s="89" t="str">
        <f t="shared" si="55"/>
        <v/>
      </c>
      <c r="T289" s="89" t="str">
        <f t="shared" si="55"/>
        <v/>
      </c>
      <c r="U289" s="254" t="str">
        <f t="shared" si="55"/>
        <v/>
      </c>
      <c r="V289" s="308"/>
      <c r="W289" s="309" t="str" cm="1">
        <f t="array" ref="W289">_xlfn.IFS(AND(Q289="y",$D289="Local"), 1, AND(Q289="y",$D289&lt;&gt;"Local"),1.49009696454663%, Q289="","")</f>
        <v/>
      </c>
      <c r="X289" s="272" cm="1">
        <f t="array" ref="X289">_xlfn.IFS(AND(R289="y",$D289="Local"), 1, AND(R289="y",$D289&lt;&gt;"Local"),20.7557554582461%, R289="","")</f>
        <v>1</v>
      </c>
      <c r="Y289" s="272" t="str" cm="1">
        <f t="array" ref="Y289">_xlfn.IFS(AND(S289="y",$D289="Local"), 1, AND(S289="y",$D289&lt;&gt;"Local"),30.3499104327336%, S289="","")</f>
        <v/>
      </c>
      <c r="Z289" s="272" t="str" cm="1">
        <f t="array" ref="Z289">_xlfn.IFS(AND(T289="y",$D289="Local"), 1, AND(T289="y",$D289&lt;&gt;"Local"),29.0043833288201%, T289="","")</f>
        <v/>
      </c>
      <c r="AA289" s="272" t="str" cm="1">
        <f t="array" ref="AA289">_xlfn.IFS(AND(U289="y",$D289="Local"), 1, AND(U289="y",$D289&lt;&gt;"Local"),18.3998538156536%, U289="","")</f>
        <v/>
      </c>
      <c r="AB289" s="68">
        <f t="shared" si="47"/>
        <v>1</v>
      </c>
      <c r="AD289" s="306" t="str">
        <f t="shared" si="48"/>
        <v/>
      </c>
      <c r="AE289" s="242">
        <f t="shared" si="49"/>
        <v>198525.03999999998</v>
      </c>
      <c r="AF289" s="242" t="str">
        <f t="shared" si="50"/>
        <v/>
      </c>
      <c r="AG289" s="242" t="str">
        <f t="shared" si="51"/>
        <v/>
      </c>
      <c r="AH289" s="352" t="str">
        <f t="shared" si="52"/>
        <v/>
      </c>
    </row>
    <row r="290" spans="2:34">
      <c r="B290" s="166" t="s">
        <v>418</v>
      </c>
      <c r="C290" s="150"/>
      <c r="D290" s="150" t="s">
        <v>116</v>
      </c>
      <c r="E290" s="150" t="s">
        <v>140</v>
      </c>
      <c r="F290" s="150" t="s">
        <v>841</v>
      </c>
      <c r="G290" s="146"/>
      <c r="H290" s="155"/>
      <c r="I290" s="135">
        <f t="shared" si="53"/>
        <v>0</v>
      </c>
      <c r="J290" s="147"/>
      <c r="K290" s="155">
        <v>287.67432337975998</v>
      </c>
      <c r="L290" s="88">
        <f t="shared" si="54"/>
        <v>370.39019940386066</v>
      </c>
      <c r="M290" s="160">
        <v>106551.75</v>
      </c>
      <c r="N290" s="167">
        <v>2016</v>
      </c>
      <c r="O290" s="167">
        <f>IFERROR(('General Input Sheet'!$G$38/(VLOOKUP(N290,'General Input Sheet'!$E$38:$G$44,3,FALSE))),1)</f>
        <v>1</v>
      </c>
      <c r="P290" s="189">
        <f t="shared" si="46"/>
        <v>106551.75</v>
      </c>
      <c r="Q290" s="89" t="str">
        <f t="shared" si="55"/>
        <v/>
      </c>
      <c r="R290" s="89" t="str">
        <f t="shared" si="55"/>
        <v>y</v>
      </c>
      <c r="S290" s="89" t="str">
        <f t="shared" si="55"/>
        <v/>
      </c>
      <c r="T290" s="89" t="str">
        <f t="shared" si="55"/>
        <v/>
      </c>
      <c r="U290" s="254" t="str">
        <f t="shared" si="55"/>
        <v/>
      </c>
      <c r="V290" s="308"/>
      <c r="W290" s="309" t="str" cm="1">
        <f t="array" ref="W290">_xlfn.IFS(AND(Q290="y",$D290="Local"), 1, AND(Q290="y",$D290&lt;&gt;"Local"),1.49009696454663%, Q290="","")</f>
        <v/>
      </c>
      <c r="X290" s="272" cm="1">
        <f t="array" ref="X290">_xlfn.IFS(AND(R290="y",$D290="Local"), 1, AND(R290="y",$D290&lt;&gt;"Local"),20.7557554582461%, R290="","")</f>
        <v>1</v>
      </c>
      <c r="Y290" s="272" t="str" cm="1">
        <f t="array" ref="Y290">_xlfn.IFS(AND(S290="y",$D290="Local"), 1, AND(S290="y",$D290&lt;&gt;"Local"),30.3499104327336%, S290="","")</f>
        <v/>
      </c>
      <c r="Z290" s="272" t="str" cm="1">
        <f t="array" ref="Z290">_xlfn.IFS(AND(T290="y",$D290="Local"), 1, AND(T290="y",$D290&lt;&gt;"Local"),29.0043833288201%, T290="","")</f>
        <v/>
      </c>
      <c r="AA290" s="272" t="str" cm="1">
        <f t="array" ref="AA290">_xlfn.IFS(AND(U290="y",$D290="Local"), 1, AND(U290="y",$D290&lt;&gt;"Local"),18.3998538156536%, U290="","")</f>
        <v/>
      </c>
      <c r="AB290" s="68">
        <f t="shared" si="47"/>
        <v>1</v>
      </c>
      <c r="AD290" s="306" t="str">
        <f t="shared" si="48"/>
        <v/>
      </c>
      <c r="AE290" s="242">
        <f t="shared" si="49"/>
        <v>106551.75</v>
      </c>
      <c r="AF290" s="242" t="str">
        <f t="shared" si="50"/>
        <v/>
      </c>
      <c r="AG290" s="242" t="str">
        <f t="shared" si="51"/>
        <v/>
      </c>
      <c r="AH290" s="352" t="str">
        <f t="shared" si="52"/>
        <v/>
      </c>
    </row>
    <row r="291" spans="2:34">
      <c r="B291" s="166" t="s">
        <v>419</v>
      </c>
      <c r="C291" s="150"/>
      <c r="D291" s="150" t="s">
        <v>116</v>
      </c>
      <c r="E291" s="150" t="s">
        <v>143</v>
      </c>
      <c r="F291" s="150" t="s">
        <v>842</v>
      </c>
      <c r="G291" s="146"/>
      <c r="H291" s="155"/>
      <c r="I291" s="135">
        <f t="shared" si="53"/>
        <v>0</v>
      </c>
      <c r="J291" s="147"/>
      <c r="K291" s="155">
        <v>14087.4278291176</v>
      </c>
      <c r="L291" s="88">
        <f t="shared" si="54"/>
        <v>110.18867452804764</v>
      </c>
      <c r="M291" s="160">
        <v>1552275</v>
      </c>
      <c r="N291" s="167">
        <v>2016</v>
      </c>
      <c r="O291" s="167">
        <f>IFERROR(('General Input Sheet'!$G$38/(VLOOKUP(N291,'General Input Sheet'!$E$38:$G$44,3,FALSE))),1)</f>
        <v>1</v>
      </c>
      <c r="P291" s="189">
        <f t="shared" si="46"/>
        <v>1552275</v>
      </c>
      <c r="Q291" s="89" t="str">
        <f t="shared" si="55"/>
        <v/>
      </c>
      <c r="R291" s="89" t="str">
        <f t="shared" si="55"/>
        <v/>
      </c>
      <c r="S291" s="89" t="str">
        <f t="shared" si="55"/>
        <v/>
      </c>
      <c r="T291" s="89" t="str">
        <f t="shared" si="55"/>
        <v/>
      </c>
      <c r="U291" s="254" t="str">
        <f t="shared" si="55"/>
        <v>y</v>
      </c>
      <c r="V291" s="308"/>
      <c r="W291" s="309" t="str" cm="1">
        <f t="array" ref="W291">_xlfn.IFS(AND(Q291="y",$D291="Local"), 1, AND(Q291="y",$D291&lt;&gt;"Local"),1.49009696454663%, Q291="","")</f>
        <v/>
      </c>
      <c r="X291" s="272" t="str" cm="1">
        <f t="array" ref="X291">_xlfn.IFS(AND(R291="y",$D291="Local"), 1, AND(R291="y",$D291&lt;&gt;"Local"),20.7557554582461%, R291="","")</f>
        <v/>
      </c>
      <c r="Y291" s="272" t="str" cm="1">
        <f t="array" ref="Y291">_xlfn.IFS(AND(S291="y",$D291="Local"), 1, AND(S291="y",$D291&lt;&gt;"Local"),30.3499104327336%, S291="","")</f>
        <v/>
      </c>
      <c r="Z291" s="272" t="str" cm="1">
        <f t="array" ref="Z291">_xlfn.IFS(AND(T291="y",$D291="Local"), 1, AND(T291="y",$D291&lt;&gt;"Local"),29.0043833288201%, T291="","")</f>
        <v/>
      </c>
      <c r="AA291" s="272" cm="1">
        <f t="array" ref="AA291">_xlfn.IFS(AND(U291="y",$D291="Local"), 1, AND(U291="y",$D291&lt;&gt;"Local"),18.3998538156536%, U291="","")</f>
        <v>1</v>
      </c>
      <c r="AB291" s="68">
        <f t="shared" si="47"/>
        <v>1</v>
      </c>
      <c r="AD291" s="306" t="str">
        <f t="shared" si="48"/>
        <v/>
      </c>
      <c r="AE291" s="242" t="str">
        <f t="shared" si="49"/>
        <v/>
      </c>
      <c r="AF291" s="242" t="str">
        <f t="shared" si="50"/>
        <v/>
      </c>
      <c r="AG291" s="242" t="str">
        <f t="shared" si="51"/>
        <v/>
      </c>
      <c r="AH291" s="352">
        <f t="shared" si="52"/>
        <v>1552275</v>
      </c>
    </row>
    <row r="292" spans="2:34">
      <c r="B292" s="166" t="s">
        <v>420</v>
      </c>
      <c r="C292" s="150"/>
      <c r="D292" s="150" t="s">
        <v>118</v>
      </c>
      <c r="E292" s="150" t="s">
        <v>140</v>
      </c>
      <c r="F292" s="150" t="s">
        <v>843</v>
      </c>
      <c r="G292" s="146">
        <v>56000</v>
      </c>
      <c r="H292" s="155">
        <v>1354</v>
      </c>
      <c r="I292" s="135">
        <f t="shared" si="53"/>
        <v>45</v>
      </c>
      <c r="J292" s="147">
        <v>116930</v>
      </c>
      <c r="K292" s="155">
        <v>892.32606604797604</v>
      </c>
      <c r="L292" s="88">
        <f t="shared" si="54"/>
        <v>666.36885621139118</v>
      </c>
      <c r="M292" s="160">
        <v>594618.30000000005</v>
      </c>
      <c r="N292" s="167">
        <v>2016</v>
      </c>
      <c r="O292" s="167">
        <f>IFERROR(('General Input Sheet'!$G$38/(VLOOKUP(N292,'General Input Sheet'!$E$38:$G$44,3,FALSE))),1)</f>
        <v>1</v>
      </c>
      <c r="P292" s="189">
        <f t="shared" si="46"/>
        <v>711548.3</v>
      </c>
      <c r="Q292" s="89" t="str">
        <f t="shared" si="55"/>
        <v>y</v>
      </c>
      <c r="R292" s="89" t="str">
        <f t="shared" si="55"/>
        <v>y</v>
      </c>
      <c r="S292" s="89" t="str">
        <f t="shared" si="55"/>
        <v>y</v>
      </c>
      <c r="T292" s="89" t="str">
        <f t="shared" si="55"/>
        <v>y</v>
      </c>
      <c r="U292" s="254" t="str">
        <f t="shared" si="55"/>
        <v>y</v>
      </c>
      <c r="V292" s="308"/>
      <c r="W292" s="309" cm="1">
        <f t="array" ref="W292">_xlfn.IFS(AND(Q292="y",$D292="Local"), 1, AND(Q292="y",$D292&lt;&gt;"Local"),1.49009696454663%, Q292="","")</f>
        <v>1.49009696454663E-2</v>
      </c>
      <c r="X292" s="272" cm="1">
        <f t="array" ref="X292">_xlfn.IFS(AND(R292="y",$D292="Local"), 1, AND(R292="y",$D292&lt;&gt;"Local"),20.7557554582461%, R292="","")</f>
        <v>0.207557554582461</v>
      </c>
      <c r="Y292" s="272" cm="1">
        <f t="array" ref="Y292">_xlfn.IFS(AND(S292="y",$D292="Local"), 1, AND(S292="y",$D292&lt;&gt;"Local"),30.3499104327336%, S292="","")</f>
        <v>0.30349910432733601</v>
      </c>
      <c r="Z292" s="272" cm="1">
        <f t="array" ref="Z292">_xlfn.IFS(AND(T292="y",$D292="Local"), 1, AND(T292="y",$D292&lt;&gt;"Local"),29.0043833288201%, T292="","")</f>
        <v>0.29004383328820099</v>
      </c>
      <c r="AA292" s="272" cm="1">
        <f t="array" ref="AA292">_xlfn.IFS(AND(U292="y",$D292="Local"), 1, AND(U292="y",$D292&lt;&gt;"Local"),18.3998538156536%, U292="","")</f>
        <v>0.183998538156536</v>
      </c>
      <c r="AB292" s="68">
        <f t="shared" si="47"/>
        <v>1.0000000000000004</v>
      </c>
      <c r="AD292" s="306">
        <f t="shared" si="48"/>
        <v>10602.759619583145</v>
      </c>
      <c r="AE292" s="242">
        <f t="shared" si="49"/>
        <v>147687.22511530729</v>
      </c>
      <c r="AF292" s="242">
        <f t="shared" si="50"/>
        <v>215954.27173563853</v>
      </c>
      <c r="AG292" s="242">
        <f t="shared" si="51"/>
        <v>206380.19650170277</v>
      </c>
      <c r="AH292" s="352">
        <f t="shared" si="52"/>
        <v>130923.84702776826</v>
      </c>
    </row>
    <row r="293" spans="2:34">
      <c r="B293" s="166" t="s">
        <v>421</v>
      </c>
      <c r="C293" s="150"/>
      <c r="D293" s="150" t="s">
        <v>118</v>
      </c>
      <c r="E293" s="150" t="s">
        <v>141</v>
      </c>
      <c r="F293" s="150" t="s">
        <v>844</v>
      </c>
      <c r="G293" s="146"/>
      <c r="H293" s="155"/>
      <c r="I293" s="135">
        <f t="shared" si="53"/>
        <v>0</v>
      </c>
      <c r="J293" s="147"/>
      <c r="K293" s="155">
        <v>435.16421193197101</v>
      </c>
      <c r="L293" s="88">
        <f t="shared" si="54"/>
        <v>447.89151923750018</v>
      </c>
      <c r="M293" s="160">
        <v>194906.36</v>
      </c>
      <c r="N293" s="167">
        <v>2016</v>
      </c>
      <c r="O293" s="167">
        <f>IFERROR(('General Input Sheet'!$G$38/(VLOOKUP(N293,'General Input Sheet'!$E$38:$G$44,3,FALSE))),1)</f>
        <v>1</v>
      </c>
      <c r="P293" s="189">
        <f t="shared" si="46"/>
        <v>194906.36</v>
      </c>
      <c r="Q293" s="89" t="str">
        <f t="shared" si="55"/>
        <v>y</v>
      </c>
      <c r="R293" s="89" t="str">
        <f t="shared" si="55"/>
        <v>y</v>
      </c>
      <c r="S293" s="89" t="str">
        <f t="shared" si="55"/>
        <v>y</v>
      </c>
      <c r="T293" s="89" t="str">
        <f t="shared" si="55"/>
        <v>y</v>
      </c>
      <c r="U293" s="254" t="str">
        <f t="shared" si="55"/>
        <v>y</v>
      </c>
      <c r="V293" s="308"/>
      <c r="W293" s="309" cm="1">
        <f t="array" ref="W293">_xlfn.IFS(AND(Q293="y",$D293="Local"), 1, AND(Q293="y",$D293&lt;&gt;"Local"),1.49009696454663%, Q293="","")</f>
        <v>1.49009696454663E-2</v>
      </c>
      <c r="X293" s="272" cm="1">
        <f t="array" ref="X293">_xlfn.IFS(AND(R293="y",$D293="Local"), 1, AND(R293="y",$D293&lt;&gt;"Local"),20.7557554582461%, R293="","")</f>
        <v>0.207557554582461</v>
      </c>
      <c r="Y293" s="272" cm="1">
        <f t="array" ref="Y293">_xlfn.IFS(AND(S293="y",$D293="Local"), 1, AND(S293="y",$D293&lt;&gt;"Local"),30.3499104327336%, S293="","")</f>
        <v>0.30349910432733601</v>
      </c>
      <c r="Z293" s="272" cm="1">
        <f t="array" ref="Z293">_xlfn.IFS(AND(T293="y",$D293="Local"), 1, AND(T293="y",$D293&lt;&gt;"Local"),29.0043833288201%, T293="","")</f>
        <v>0.29004383328820099</v>
      </c>
      <c r="AA293" s="272" cm="1">
        <f t="array" ref="AA293">_xlfn.IFS(AND(U293="y",$D293="Local"), 1, AND(U293="y",$D293&lt;&gt;"Local"),18.3998538156536%, U293="","")</f>
        <v>0.183998538156536</v>
      </c>
      <c r="AB293" s="68">
        <f t="shared" si="47"/>
        <v>1.0000000000000004</v>
      </c>
      <c r="AD293" s="306">
        <f t="shared" si="48"/>
        <v>2904.2937540683256</v>
      </c>
      <c r="AE293" s="242">
        <f t="shared" si="49"/>
        <v>40454.287454168778</v>
      </c>
      <c r="AF293" s="242">
        <f t="shared" si="50"/>
        <v>59153.905687701284</v>
      </c>
      <c r="AG293" s="242">
        <f t="shared" si="51"/>
        <v>56531.387786650062</v>
      </c>
      <c r="AH293" s="352">
        <f t="shared" si="52"/>
        <v>35862.48531741152</v>
      </c>
    </row>
    <row r="294" spans="2:34">
      <c r="B294" s="166" t="s">
        <v>422</v>
      </c>
      <c r="C294" s="150"/>
      <c r="D294" s="150" t="s">
        <v>116</v>
      </c>
      <c r="E294" s="150" t="s">
        <v>140</v>
      </c>
      <c r="F294" s="150" t="s">
        <v>845</v>
      </c>
      <c r="G294" s="146"/>
      <c r="H294" s="155"/>
      <c r="I294" s="135">
        <f t="shared" si="53"/>
        <v>0</v>
      </c>
      <c r="J294" s="147"/>
      <c r="K294" s="155">
        <v>6063.9385113792896</v>
      </c>
      <c r="L294" s="88">
        <f t="shared" si="54"/>
        <v>116.09175104248804</v>
      </c>
      <c r="M294" s="160">
        <v>703973.24</v>
      </c>
      <c r="N294" s="167">
        <v>2016</v>
      </c>
      <c r="O294" s="167">
        <f>IFERROR(('General Input Sheet'!$G$38/(VLOOKUP(N294,'General Input Sheet'!$E$38:$G$44,3,FALSE))),1)</f>
        <v>1</v>
      </c>
      <c r="P294" s="189">
        <f t="shared" si="46"/>
        <v>703973.24</v>
      </c>
      <c r="Q294" s="89" t="str">
        <f t="shared" si="55"/>
        <v/>
      </c>
      <c r="R294" s="89" t="str">
        <f t="shared" si="55"/>
        <v>y</v>
      </c>
      <c r="S294" s="89" t="str">
        <f t="shared" si="55"/>
        <v/>
      </c>
      <c r="T294" s="89" t="str">
        <f t="shared" si="55"/>
        <v/>
      </c>
      <c r="U294" s="254" t="str">
        <f t="shared" si="55"/>
        <v/>
      </c>
      <c r="V294" s="308"/>
      <c r="W294" s="309" t="str" cm="1">
        <f t="array" ref="W294">_xlfn.IFS(AND(Q294="y",$D294="Local"), 1, AND(Q294="y",$D294&lt;&gt;"Local"),1.49009696454663%, Q294="","")</f>
        <v/>
      </c>
      <c r="X294" s="272" cm="1">
        <f t="array" ref="X294">_xlfn.IFS(AND(R294="y",$D294="Local"), 1, AND(R294="y",$D294&lt;&gt;"Local"),20.7557554582461%, R294="","")</f>
        <v>1</v>
      </c>
      <c r="Y294" s="272" t="str" cm="1">
        <f t="array" ref="Y294">_xlfn.IFS(AND(S294="y",$D294="Local"), 1, AND(S294="y",$D294&lt;&gt;"Local"),30.3499104327336%, S294="","")</f>
        <v/>
      </c>
      <c r="Z294" s="272" t="str" cm="1">
        <f t="array" ref="Z294">_xlfn.IFS(AND(T294="y",$D294="Local"), 1, AND(T294="y",$D294&lt;&gt;"Local"),29.0043833288201%, T294="","")</f>
        <v/>
      </c>
      <c r="AA294" s="272" t="str" cm="1">
        <f t="array" ref="AA294">_xlfn.IFS(AND(U294="y",$D294="Local"), 1, AND(U294="y",$D294&lt;&gt;"Local"),18.3998538156536%, U294="","")</f>
        <v/>
      </c>
      <c r="AB294" s="68">
        <f t="shared" si="47"/>
        <v>1</v>
      </c>
      <c r="AD294" s="306" t="str">
        <f t="shared" si="48"/>
        <v/>
      </c>
      <c r="AE294" s="242">
        <f t="shared" si="49"/>
        <v>703973.24</v>
      </c>
      <c r="AF294" s="242" t="str">
        <f t="shared" si="50"/>
        <v/>
      </c>
      <c r="AG294" s="242" t="str">
        <f t="shared" si="51"/>
        <v/>
      </c>
      <c r="AH294" s="352" t="str">
        <f t="shared" si="52"/>
        <v/>
      </c>
    </row>
    <row r="295" spans="2:34">
      <c r="B295" s="166" t="s">
        <v>423</v>
      </c>
      <c r="C295" s="150"/>
      <c r="D295" s="150" t="s">
        <v>118</v>
      </c>
      <c r="E295" s="150" t="s">
        <v>141</v>
      </c>
      <c r="F295" s="150" t="s">
        <v>846</v>
      </c>
      <c r="G295" s="146"/>
      <c r="H295" s="155"/>
      <c r="I295" s="135">
        <f t="shared" si="53"/>
        <v>0</v>
      </c>
      <c r="J295" s="147"/>
      <c r="K295" s="155">
        <v>153.50880991706001</v>
      </c>
      <c r="L295" s="88">
        <f t="shared" si="54"/>
        <v>278.9744772507724</v>
      </c>
      <c r="M295" s="160">
        <v>42825.04</v>
      </c>
      <c r="N295" s="167">
        <v>2016</v>
      </c>
      <c r="O295" s="167">
        <f>IFERROR(('General Input Sheet'!$G$38/(VLOOKUP(N295,'General Input Sheet'!$E$38:$G$44,3,FALSE))),1)</f>
        <v>1</v>
      </c>
      <c r="P295" s="189">
        <f t="shared" si="46"/>
        <v>42825.04</v>
      </c>
      <c r="Q295" s="89" t="str">
        <f t="shared" si="55"/>
        <v>y</v>
      </c>
      <c r="R295" s="89" t="str">
        <f t="shared" si="55"/>
        <v>y</v>
      </c>
      <c r="S295" s="89" t="str">
        <f t="shared" si="55"/>
        <v>y</v>
      </c>
      <c r="T295" s="89" t="str">
        <f t="shared" si="55"/>
        <v>y</v>
      </c>
      <c r="U295" s="254" t="str">
        <f t="shared" si="55"/>
        <v>y</v>
      </c>
      <c r="V295" s="308"/>
      <c r="W295" s="309" cm="1">
        <f t="array" ref="W295">_xlfn.IFS(AND(Q295="y",$D295="Local"), 1, AND(Q295="y",$D295&lt;&gt;"Local"),1.49009696454663%, Q295="","")</f>
        <v>1.49009696454663E-2</v>
      </c>
      <c r="X295" s="272" cm="1">
        <f t="array" ref="X295">_xlfn.IFS(AND(R295="y",$D295="Local"), 1, AND(R295="y",$D295&lt;&gt;"Local"),20.7557554582461%, R295="","")</f>
        <v>0.207557554582461</v>
      </c>
      <c r="Y295" s="272" cm="1">
        <f t="array" ref="Y295">_xlfn.IFS(AND(S295="y",$D295="Local"), 1, AND(S295="y",$D295&lt;&gt;"Local"),30.3499104327336%, S295="","")</f>
        <v>0.30349910432733601</v>
      </c>
      <c r="Z295" s="272" cm="1">
        <f t="array" ref="Z295">_xlfn.IFS(AND(T295="y",$D295="Local"), 1, AND(T295="y",$D295&lt;&gt;"Local"),29.0043833288201%, T295="","")</f>
        <v>0.29004383328820099</v>
      </c>
      <c r="AA295" s="272" cm="1">
        <f t="array" ref="AA295">_xlfn.IFS(AND(U295="y",$D295="Local"), 1, AND(U295="y",$D295&lt;&gt;"Local"),18.3998538156536%, U295="","")</f>
        <v>0.183998538156536</v>
      </c>
      <c r="AB295" s="68">
        <f t="shared" si="47"/>
        <v>1.0000000000000004</v>
      </c>
      <c r="AD295" s="306">
        <f t="shared" si="48"/>
        <v>638.13462110587989</v>
      </c>
      <c r="AE295" s="242">
        <f t="shared" si="49"/>
        <v>8888.660577296072</v>
      </c>
      <c r="AF295" s="242">
        <f t="shared" si="50"/>
        <v>12997.361282782333</v>
      </c>
      <c r="AG295" s="242">
        <f t="shared" si="51"/>
        <v>12421.138762320534</v>
      </c>
      <c r="AH295" s="352">
        <f t="shared" si="52"/>
        <v>7879.7447564951772</v>
      </c>
    </row>
    <row r="296" spans="2:34">
      <c r="B296" s="166" t="s">
        <v>424</v>
      </c>
      <c r="C296" s="150"/>
      <c r="D296" s="150" t="s">
        <v>116</v>
      </c>
      <c r="E296" s="150" t="s">
        <v>140</v>
      </c>
      <c r="F296" s="150" t="s">
        <v>847</v>
      </c>
      <c r="G296" s="146"/>
      <c r="H296" s="155"/>
      <c r="I296" s="135">
        <f t="shared" si="53"/>
        <v>0</v>
      </c>
      <c r="J296" s="147"/>
      <c r="K296" s="155">
        <v>194.87208466916101</v>
      </c>
      <c r="L296" s="88">
        <f t="shared" si="54"/>
        <v>930.91229720245508</v>
      </c>
      <c r="M296" s="160">
        <v>181408.82</v>
      </c>
      <c r="N296" s="167">
        <v>2016</v>
      </c>
      <c r="O296" s="167">
        <f>IFERROR(('General Input Sheet'!$G$38/(VLOOKUP(N296,'General Input Sheet'!$E$38:$G$44,3,FALSE))),1)</f>
        <v>1</v>
      </c>
      <c r="P296" s="189">
        <f t="shared" si="46"/>
        <v>181408.82</v>
      </c>
      <c r="Q296" s="89" t="str">
        <f t="shared" si="55"/>
        <v/>
      </c>
      <c r="R296" s="89" t="str">
        <f t="shared" si="55"/>
        <v>y</v>
      </c>
      <c r="S296" s="89" t="str">
        <f t="shared" si="55"/>
        <v/>
      </c>
      <c r="T296" s="89" t="str">
        <f t="shared" si="55"/>
        <v/>
      </c>
      <c r="U296" s="254" t="str">
        <f t="shared" si="55"/>
        <v/>
      </c>
      <c r="V296" s="308"/>
      <c r="W296" s="309" t="str" cm="1">
        <f t="array" ref="W296">_xlfn.IFS(AND(Q296="y",$D296="Local"), 1, AND(Q296="y",$D296&lt;&gt;"Local"),1.49009696454663%, Q296="","")</f>
        <v/>
      </c>
      <c r="X296" s="272" cm="1">
        <f t="array" ref="X296">_xlfn.IFS(AND(R296="y",$D296="Local"), 1, AND(R296="y",$D296&lt;&gt;"Local"),20.7557554582461%, R296="","")</f>
        <v>1</v>
      </c>
      <c r="Y296" s="272" t="str" cm="1">
        <f t="array" ref="Y296">_xlfn.IFS(AND(S296="y",$D296="Local"), 1, AND(S296="y",$D296&lt;&gt;"Local"),30.3499104327336%, S296="","")</f>
        <v/>
      </c>
      <c r="Z296" s="272" t="str" cm="1">
        <f t="array" ref="Z296">_xlfn.IFS(AND(T296="y",$D296="Local"), 1, AND(T296="y",$D296&lt;&gt;"Local"),29.0043833288201%, T296="","")</f>
        <v/>
      </c>
      <c r="AA296" s="272" t="str" cm="1">
        <f t="array" ref="AA296">_xlfn.IFS(AND(U296="y",$D296="Local"), 1, AND(U296="y",$D296&lt;&gt;"Local"),18.3998538156536%, U296="","")</f>
        <v/>
      </c>
      <c r="AB296" s="68">
        <f t="shared" si="47"/>
        <v>1</v>
      </c>
      <c r="AD296" s="306" t="str">
        <f t="shared" si="48"/>
        <v/>
      </c>
      <c r="AE296" s="242">
        <f t="shared" si="49"/>
        <v>181408.82</v>
      </c>
      <c r="AF296" s="242" t="str">
        <f t="shared" si="50"/>
        <v/>
      </c>
      <c r="AG296" s="242" t="str">
        <f t="shared" si="51"/>
        <v/>
      </c>
      <c r="AH296" s="352" t="str">
        <f t="shared" si="52"/>
        <v/>
      </c>
    </row>
    <row r="297" spans="2:34">
      <c r="B297" s="166" t="s">
        <v>425</v>
      </c>
      <c r="C297" s="150"/>
      <c r="D297" s="150" t="s">
        <v>118</v>
      </c>
      <c r="E297" s="150" t="s">
        <v>140</v>
      </c>
      <c r="F297" s="150" t="s">
        <v>848</v>
      </c>
      <c r="G297" s="146"/>
      <c r="H297" s="155"/>
      <c r="I297" s="135">
        <f t="shared" si="53"/>
        <v>0</v>
      </c>
      <c r="J297" s="147"/>
      <c r="K297" s="155">
        <v>15.948865652585001</v>
      </c>
      <c r="L297" s="88">
        <f t="shared" si="54"/>
        <v>586.52447163123691</v>
      </c>
      <c r="M297" s="160">
        <v>9354.4</v>
      </c>
      <c r="N297" s="167">
        <v>2016</v>
      </c>
      <c r="O297" s="167">
        <f>IFERROR(('General Input Sheet'!$G$38/(VLOOKUP(N297,'General Input Sheet'!$E$38:$G$44,3,FALSE))),1)</f>
        <v>1</v>
      </c>
      <c r="P297" s="189">
        <f t="shared" si="46"/>
        <v>9354.4</v>
      </c>
      <c r="Q297" s="89" t="str">
        <f t="shared" si="55"/>
        <v>y</v>
      </c>
      <c r="R297" s="89" t="str">
        <f t="shared" si="55"/>
        <v>y</v>
      </c>
      <c r="S297" s="89" t="str">
        <f t="shared" si="55"/>
        <v>y</v>
      </c>
      <c r="T297" s="89" t="str">
        <f t="shared" si="55"/>
        <v>y</v>
      </c>
      <c r="U297" s="254" t="str">
        <f t="shared" si="55"/>
        <v>y</v>
      </c>
      <c r="V297" s="308"/>
      <c r="W297" s="309" cm="1">
        <f t="array" ref="W297">_xlfn.IFS(AND(Q297="y",$D297="Local"), 1, AND(Q297="y",$D297&lt;&gt;"Local"),1.49009696454663%, Q297="","")</f>
        <v>1.49009696454663E-2</v>
      </c>
      <c r="X297" s="272" cm="1">
        <f t="array" ref="X297">_xlfn.IFS(AND(R297="y",$D297="Local"), 1, AND(R297="y",$D297&lt;&gt;"Local"),20.7557554582461%, R297="","")</f>
        <v>0.207557554582461</v>
      </c>
      <c r="Y297" s="272" cm="1">
        <f t="array" ref="Y297">_xlfn.IFS(AND(S297="y",$D297="Local"), 1, AND(S297="y",$D297&lt;&gt;"Local"),30.3499104327336%, S297="","")</f>
        <v>0.30349910432733601</v>
      </c>
      <c r="Z297" s="272" cm="1">
        <f t="array" ref="Z297">_xlfn.IFS(AND(T297="y",$D297="Local"), 1, AND(T297="y",$D297&lt;&gt;"Local"),29.0043833288201%, T297="","")</f>
        <v>0.29004383328820099</v>
      </c>
      <c r="AA297" s="272" cm="1">
        <f t="array" ref="AA297">_xlfn.IFS(AND(U297="y",$D297="Local"), 1, AND(U297="y",$D297&lt;&gt;"Local"),18.3998538156536%, U297="","")</f>
        <v>0.183998538156536</v>
      </c>
      <c r="AB297" s="68">
        <f t="shared" si="47"/>
        <v>1.0000000000000004</v>
      </c>
      <c r="AD297" s="306">
        <f t="shared" si="48"/>
        <v>139.38963045154989</v>
      </c>
      <c r="AE297" s="242">
        <f t="shared" si="49"/>
        <v>1941.5763885861722</v>
      </c>
      <c r="AF297" s="242">
        <f t="shared" si="50"/>
        <v>2839.0520215196307</v>
      </c>
      <c r="AG297" s="242">
        <f t="shared" si="51"/>
        <v>2713.186034111146</v>
      </c>
      <c r="AH297" s="352">
        <f t="shared" si="52"/>
        <v>1721.1959253314994</v>
      </c>
    </row>
    <row r="298" spans="2:34">
      <c r="B298" s="166" t="s">
        <v>426</v>
      </c>
      <c r="C298" s="150"/>
      <c r="D298" s="150" t="s">
        <v>116</v>
      </c>
      <c r="E298" s="150" t="s">
        <v>140</v>
      </c>
      <c r="F298" s="150" t="s">
        <v>849</v>
      </c>
      <c r="G298" s="146"/>
      <c r="H298" s="155"/>
      <c r="I298" s="135">
        <f t="shared" si="53"/>
        <v>0</v>
      </c>
      <c r="J298" s="147"/>
      <c r="K298" s="155">
        <v>376.08798229046801</v>
      </c>
      <c r="L298" s="88">
        <f t="shared" si="54"/>
        <v>624.58789182627277</v>
      </c>
      <c r="M298" s="160">
        <v>234900</v>
      </c>
      <c r="N298" s="167">
        <v>2016</v>
      </c>
      <c r="O298" s="167">
        <f>IFERROR(('General Input Sheet'!$G$38/(VLOOKUP(N298,'General Input Sheet'!$E$38:$G$44,3,FALSE))),1)</f>
        <v>1</v>
      </c>
      <c r="P298" s="189">
        <f t="shared" si="46"/>
        <v>234900</v>
      </c>
      <c r="Q298" s="89" t="str">
        <f t="shared" si="55"/>
        <v/>
      </c>
      <c r="R298" s="89" t="str">
        <f t="shared" si="55"/>
        <v>y</v>
      </c>
      <c r="S298" s="89" t="str">
        <f t="shared" si="55"/>
        <v/>
      </c>
      <c r="T298" s="89" t="str">
        <f t="shared" si="55"/>
        <v/>
      </c>
      <c r="U298" s="254" t="str">
        <f t="shared" si="55"/>
        <v/>
      </c>
      <c r="V298" s="308"/>
      <c r="W298" s="309" t="str" cm="1">
        <f t="array" ref="W298">_xlfn.IFS(AND(Q298="y",$D298="Local"), 1, AND(Q298="y",$D298&lt;&gt;"Local"),1.49009696454663%, Q298="","")</f>
        <v/>
      </c>
      <c r="X298" s="272" cm="1">
        <f t="array" ref="X298">_xlfn.IFS(AND(R298="y",$D298="Local"), 1, AND(R298="y",$D298&lt;&gt;"Local"),20.7557554582461%, R298="","")</f>
        <v>1</v>
      </c>
      <c r="Y298" s="272" t="str" cm="1">
        <f t="array" ref="Y298">_xlfn.IFS(AND(S298="y",$D298="Local"), 1, AND(S298="y",$D298&lt;&gt;"Local"),30.3499104327336%, S298="","")</f>
        <v/>
      </c>
      <c r="Z298" s="272" t="str" cm="1">
        <f t="array" ref="Z298">_xlfn.IFS(AND(T298="y",$D298="Local"), 1, AND(T298="y",$D298&lt;&gt;"Local"),29.0043833288201%, T298="","")</f>
        <v/>
      </c>
      <c r="AA298" s="272" t="str" cm="1">
        <f t="array" ref="AA298">_xlfn.IFS(AND(U298="y",$D298="Local"), 1, AND(U298="y",$D298&lt;&gt;"Local"),18.3998538156536%, U298="","")</f>
        <v/>
      </c>
      <c r="AB298" s="68">
        <f t="shared" si="47"/>
        <v>1</v>
      </c>
      <c r="AD298" s="306" t="str">
        <f t="shared" si="48"/>
        <v/>
      </c>
      <c r="AE298" s="242">
        <f t="shared" si="49"/>
        <v>234900</v>
      </c>
      <c r="AF298" s="242" t="str">
        <f t="shared" si="50"/>
        <v/>
      </c>
      <c r="AG298" s="242" t="str">
        <f t="shared" si="51"/>
        <v/>
      </c>
      <c r="AH298" s="352" t="str">
        <f t="shared" si="52"/>
        <v/>
      </c>
    </row>
    <row r="299" spans="2:34">
      <c r="B299" s="166" t="s">
        <v>427</v>
      </c>
      <c r="C299" s="150"/>
      <c r="D299" s="150" t="s">
        <v>118</v>
      </c>
      <c r="E299" s="150" t="s">
        <v>140</v>
      </c>
      <c r="F299" s="150" t="s">
        <v>850</v>
      </c>
      <c r="G299" s="146"/>
      <c r="H299" s="155"/>
      <c r="I299" s="135">
        <f t="shared" si="53"/>
        <v>0</v>
      </c>
      <c r="J299" s="147"/>
      <c r="K299" s="155">
        <v>210.094516286833</v>
      </c>
      <c r="L299" s="88">
        <f t="shared" si="54"/>
        <v>586.99832903601123</v>
      </c>
      <c r="M299" s="160">
        <v>123325.13</v>
      </c>
      <c r="N299" s="167">
        <v>2016</v>
      </c>
      <c r="O299" s="167">
        <f>IFERROR(('General Input Sheet'!$G$38/(VLOOKUP(N299,'General Input Sheet'!$E$38:$G$44,3,FALSE))),1)</f>
        <v>1</v>
      </c>
      <c r="P299" s="189">
        <f t="shared" si="46"/>
        <v>123325.13</v>
      </c>
      <c r="Q299" s="89" t="str">
        <f t="shared" si="55"/>
        <v>y</v>
      </c>
      <c r="R299" s="89" t="str">
        <f t="shared" si="55"/>
        <v>y</v>
      </c>
      <c r="S299" s="89" t="str">
        <f t="shared" si="55"/>
        <v>y</v>
      </c>
      <c r="T299" s="89" t="str">
        <f t="shared" si="55"/>
        <v>y</v>
      </c>
      <c r="U299" s="254" t="str">
        <f t="shared" si="55"/>
        <v>y</v>
      </c>
      <c r="V299" s="308"/>
      <c r="W299" s="309" cm="1">
        <f t="array" ref="W299">_xlfn.IFS(AND(Q299="y",$D299="Local"), 1, AND(Q299="y",$D299&lt;&gt;"Local"),1.49009696454663%, Q299="","")</f>
        <v>1.49009696454663E-2</v>
      </c>
      <c r="X299" s="272" cm="1">
        <f t="array" ref="X299">_xlfn.IFS(AND(R299="y",$D299="Local"), 1, AND(R299="y",$D299&lt;&gt;"Local"),20.7557554582461%, R299="","")</f>
        <v>0.207557554582461</v>
      </c>
      <c r="Y299" s="272" cm="1">
        <f t="array" ref="Y299">_xlfn.IFS(AND(S299="y",$D299="Local"), 1, AND(S299="y",$D299&lt;&gt;"Local"),30.3499104327336%, S299="","")</f>
        <v>0.30349910432733601</v>
      </c>
      <c r="Z299" s="272" cm="1">
        <f t="array" ref="Z299">_xlfn.IFS(AND(T299="y",$D299="Local"), 1, AND(T299="y",$D299&lt;&gt;"Local"),29.0043833288201%, T299="","")</f>
        <v>0.29004383328820099</v>
      </c>
      <c r="AA299" s="272" cm="1">
        <f t="array" ref="AA299">_xlfn.IFS(AND(U299="y",$D299="Local"), 1, AND(U299="y",$D299&lt;&gt;"Local"),18.3998538156536%, U299="","")</f>
        <v>0.183998538156536</v>
      </c>
      <c r="AB299" s="68">
        <f t="shared" si="47"/>
        <v>1.0000000000000004</v>
      </c>
      <c r="AD299" s="306">
        <f t="shared" si="48"/>
        <v>1837.6640186531847</v>
      </c>
      <c r="AE299" s="242">
        <f t="shared" si="49"/>
        <v>25597.062401364088</v>
      </c>
      <c r="AF299" s="242">
        <f t="shared" si="50"/>
        <v>37429.066496052263</v>
      </c>
      <c r="AG299" s="242">
        <f t="shared" si="51"/>
        <v>35769.693445965706</v>
      </c>
      <c r="AH299" s="352">
        <f t="shared" si="52"/>
        <v>22691.643637964753</v>
      </c>
    </row>
    <row r="300" spans="2:34">
      <c r="B300" s="166" t="s">
        <v>428</v>
      </c>
      <c r="C300" s="150"/>
      <c r="D300" s="150" t="s">
        <v>116</v>
      </c>
      <c r="E300" s="150" t="s">
        <v>140</v>
      </c>
      <c r="F300" s="150" t="s">
        <v>851</v>
      </c>
      <c r="G300" s="146"/>
      <c r="H300" s="155"/>
      <c r="I300" s="135">
        <f t="shared" si="53"/>
        <v>0</v>
      </c>
      <c r="J300" s="147"/>
      <c r="K300" s="155">
        <v>376.07752022582798</v>
      </c>
      <c r="L300" s="88">
        <f t="shared" si="54"/>
        <v>624.60526717722098</v>
      </c>
      <c r="M300" s="160">
        <v>234900</v>
      </c>
      <c r="N300" s="167">
        <v>2016</v>
      </c>
      <c r="O300" s="167">
        <f>IFERROR(('General Input Sheet'!$G$38/(VLOOKUP(N300,'General Input Sheet'!$E$38:$G$44,3,FALSE))),1)</f>
        <v>1</v>
      </c>
      <c r="P300" s="189">
        <f t="shared" si="46"/>
        <v>234900</v>
      </c>
      <c r="Q300" s="89" t="str">
        <f t="shared" si="55"/>
        <v/>
      </c>
      <c r="R300" s="89" t="str">
        <f t="shared" si="55"/>
        <v>y</v>
      </c>
      <c r="S300" s="89" t="str">
        <f t="shared" si="55"/>
        <v/>
      </c>
      <c r="T300" s="89" t="str">
        <f t="shared" si="55"/>
        <v/>
      </c>
      <c r="U300" s="254" t="str">
        <f t="shared" si="55"/>
        <v/>
      </c>
      <c r="V300" s="308"/>
      <c r="W300" s="309" t="str" cm="1">
        <f t="array" ref="W300">_xlfn.IFS(AND(Q300="y",$D300="Local"), 1, AND(Q300="y",$D300&lt;&gt;"Local"),1.49009696454663%, Q300="","")</f>
        <v/>
      </c>
      <c r="X300" s="272" cm="1">
        <f t="array" ref="X300">_xlfn.IFS(AND(R300="y",$D300="Local"), 1, AND(R300="y",$D300&lt;&gt;"Local"),20.7557554582461%, R300="","")</f>
        <v>1</v>
      </c>
      <c r="Y300" s="272" t="str" cm="1">
        <f t="array" ref="Y300">_xlfn.IFS(AND(S300="y",$D300="Local"), 1, AND(S300="y",$D300&lt;&gt;"Local"),30.3499104327336%, S300="","")</f>
        <v/>
      </c>
      <c r="Z300" s="272" t="str" cm="1">
        <f t="array" ref="Z300">_xlfn.IFS(AND(T300="y",$D300="Local"), 1, AND(T300="y",$D300&lt;&gt;"Local"),29.0043833288201%, T300="","")</f>
        <v/>
      </c>
      <c r="AA300" s="272" t="str" cm="1">
        <f t="array" ref="AA300">_xlfn.IFS(AND(U300="y",$D300="Local"), 1, AND(U300="y",$D300&lt;&gt;"Local"),18.3998538156536%, U300="","")</f>
        <v/>
      </c>
      <c r="AB300" s="68">
        <f t="shared" si="47"/>
        <v>1</v>
      </c>
      <c r="AD300" s="306" t="str">
        <f t="shared" si="48"/>
        <v/>
      </c>
      <c r="AE300" s="242">
        <f t="shared" si="49"/>
        <v>234900</v>
      </c>
      <c r="AF300" s="242" t="str">
        <f t="shared" si="50"/>
        <v/>
      </c>
      <c r="AG300" s="242" t="str">
        <f t="shared" si="51"/>
        <v/>
      </c>
      <c r="AH300" s="352" t="str">
        <f t="shared" si="52"/>
        <v/>
      </c>
    </row>
    <row r="301" spans="2:34">
      <c r="B301" s="166" t="s">
        <v>429</v>
      </c>
      <c r="C301" s="150"/>
      <c r="D301" s="150" t="s">
        <v>118</v>
      </c>
      <c r="E301" s="150" t="s">
        <v>140</v>
      </c>
      <c r="F301" s="150" t="s">
        <v>852</v>
      </c>
      <c r="G301" s="146"/>
      <c r="H301" s="155"/>
      <c r="I301" s="135">
        <f t="shared" si="53"/>
        <v>0</v>
      </c>
      <c r="J301" s="147"/>
      <c r="K301" s="155">
        <v>329.17055756848498</v>
      </c>
      <c r="L301" s="88">
        <f t="shared" si="54"/>
        <v>587.44773964107844</v>
      </c>
      <c r="M301" s="160">
        <v>193370.5</v>
      </c>
      <c r="N301" s="167">
        <v>2016</v>
      </c>
      <c r="O301" s="167">
        <f>IFERROR(('General Input Sheet'!$G$38/(VLOOKUP(N301,'General Input Sheet'!$E$38:$G$44,3,FALSE))),1)</f>
        <v>1</v>
      </c>
      <c r="P301" s="189">
        <f t="shared" si="46"/>
        <v>193370.5</v>
      </c>
      <c r="Q301" s="89" t="str">
        <f t="shared" si="55"/>
        <v>y</v>
      </c>
      <c r="R301" s="89" t="str">
        <f t="shared" si="55"/>
        <v>y</v>
      </c>
      <c r="S301" s="89" t="str">
        <f t="shared" si="55"/>
        <v>y</v>
      </c>
      <c r="T301" s="89" t="str">
        <f t="shared" si="55"/>
        <v>y</v>
      </c>
      <c r="U301" s="254" t="str">
        <f t="shared" si="55"/>
        <v>y</v>
      </c>
      <c r="V301" s="308"/>
      <c r="W301" s="309" cm="1">
        <f t="array" ref="W301">_xlfn.IFS(AND(Q301="y",$D301="Local"), 1, AND(Q301="y",$D301&lt;&gt;"Local"),1.49009696454663%, Q301="","")</f>
        <v>1.49009696454663E-2</v>
      </c>
      <c r="X301" s="272" cm="1">
        <f t="array" ref="X301">_xlfn.IFS(AND(R301="y",$D301="Local"), 1, AND(R301="y",$D301&lt;&gt;"Local"),20.7557554582461%, R301="","")</f>
        <v>0.207557554582461</v>
      </c>
      <c r="Y301" s="272" cm="1">
        <f t="array" ref="Y301">_xlfn.IFS(AND(S301="y",$D301="Local"), 1, AND(S301="y",$D301&lt;&gt;"Local"),30.3499104327336%, S301="","")</f>
        <v>0.30349910432733601</v>
      </c>
      <c r="Z301" s="272" cm="1">
        <f t="array" ref="Z301">_xlfn.IFS(AND(T301="y",$D301="Local"), 1, AND(T301="y",$D301&lt;&gt;"Local"),29.0043833288201%, T301="","")</f>
        <v>0.29004383328820099</v>
      </c>
      <c r="AA301" s="272" cm="1">
        <f t="array" ref="AA301">_xlfn.IFS(AND(U301="y",$D301="Local"), 1, AND(U301="y",$D301&lt;&gt;"Local"),18.3998538156536%, U301="","")</f>
        <v>0.183998538156536</v>
      </c>
      <c r="AB301" s="68">
        <f t="shared" si="47"/>
        <v>1.0000000000000004</v>
      </c>
      <c r="AD301" s="306">
        <f t="shared" si="48"/>
        <v>2881.40795082864</v>
      </c>
      <c r="AE301" s="242">
        <f t="shared" si="49"/>
        <v>40135.508108387759</v>
      </c>
      <c r="AF301" s="242">
        <f t="shared" si="50"/>
        <v>58687.773553329105</v>
      </c>
      <c r="AG301" s="242">
        <f t="shared" si="51"/>
        <v>56085.921064856047</v>
      </c>
      <c r="AH301" s="352">
        <f t="shared" si="52"/>
        <v>35579.889322598428</v>
      </c>
    </row>
    <row r="302" spans="2:34">
      <c r="B302" s="166" t="s">
        <v>430</v>
      </c>
      <c r="C302" s="150"/>
      <c r="D302" s="150" t="s">
        <v>118</v>
      </c>
      <c r="E302" s="150" t="s">
        <v>140</v>
      </c>
      <c r="F302" s="150" t="s">
        <v>853</v>
      </c>
      <c r="G302" s="146"/>
      <c r="H302" s="155"/>
      <c r="I302" s="135">
        <f t="shared" si="53"/>
        <v>0</v>
      </c>
      <c r="J302" s="147"/>
      <c r="K302" s="155">
        <v>388.50280206222101</v>
      </c>
      <c r="L302" s="88">
        <f t="shared" si="54"/>
        <v>675.3706501143273</v>
      </c>
      <c r="M302" s="160">
        <v>262383.39</v>
      </c>
      <c r="N302" s="167">
        <v>2016</v>
      </c>
      <c r="O302" s="167">
        <f>IFERROR(('General Input Sheet'!$G$38/(VLOOKUP(N302,'General Input Sheet'!$E$38:$G$44,3,FALSE))),1)</f>
        <v>1</v>
      </c>
      <c r="P302" s="189">
        <f t="shared" si="46"/>
        <v>262383.39</v>
      </c>
      <c r="Q302" s="89" t="str">
        <f t="shared" si="55"/>
        <v>y</v>
      </c>
      <c r="R302" s="89" t="str">
        <f t="shared" si="55"/>
        <v>y</v>
      </c>
      <c r="S302" s="89" t="str">
        <f t="shared" si="55"/>
        <v>y</v>
      </c>
      <c r="T302" s="89" t="str">
        <f t="shared" si="55"/>
        <v>y</v>
      </c>
      <c r="U302" s="254" t="str">
        <f t="shared" si="55"/>
        <v>y</v>
      </c>
      <c r="V302" s="308"/>
      <c r="W302" s="309" cm="1">
        <f t="array" ref="W302">_xlfn.IFS(AND(Q302="y",$D302="Local"), 1, AND(Q302="y",$D302&lt;&gt;"Local"),1.49009696454663%, Q302="","")</f>
        <v>1.49009696454663E-2</v>
      </c>
      <c r="X302" s="272" cm="1">
        <f t="array" ref="X302">_xlfn.IFS(AND(R302="y",$D302="Local"), 1, AND(R302="y",$D302&lt;&gt;"Local"),20.7557554582461%, R302="","")</f>
        <v>0.207557554582461</v>
      </c>
      <c r="Y302" s="272" cm="1">
        <f t="array" ref="Y302">_xlfn.IFS(AND(S302="y",$D302="Local"), 1, AND(S302="y",$D302&lt;&gt;"Local"),30.3499104327336%, S302="","")</f>
        <v>0.30349910432733601</v>
      </c>
      <c r="Z302" s="272" cm="1">
        <f t="array" ref="Z302">_xlfn.IFS(AND(T302="y",$D302="Local"), 1, AND(T302="y",$D302&lt;&gt;"Local"),29.0043833288201%, T302="","")</f>
        <v>0.29004383328820099</v>
      </c>
      <c r="AA302" s="272" cm="1">
        <f t="array" ref="AA302">_xlfn.IFS(AND(U302="y",$D302="Local"), 1, AND(U302="y",$D302&lt;&gt;"Local"),18.3998538156536%, U302="","")</f>
        <v>0.183998538156536</v>
      </c>
      <c r="AB302" s="68">
        <f t="shared" si="47"/>
        <v>1.0000000000000004</v>
      </c>
      <c r="AD302" s="306">
        <f t="shared" si="48"/>
        <v>3909.7669298645442</v>
      </c>
      <c r="AE302" s="242">
        <f t="shared" si="49"/>
        <v>54459.654791456131</v>
      </c>
      <c r="AF302" s="242">
        <f t="shared" si="50"/>
        <v>79633.123855370068</v>
      </c>
      <c r="AG302" s="242">
        <f t="shared" si="51"/>
        <v>76102.684226753001</v>
      </c>
      <c r="AH302" s="352">
        <f t="shared" si="52"/>
        <v>48278.160196556244</v>
      </c>
    </row>
    <row r="303" spans="2:34">
      <c r="B303" s="166" t="s">
        <v>431</v>
      </c>
      <c r="C303" s="150"/>
      <c r="D303" s="150" t="s">
        <v>118</v>
      </c>
      <c r="E303" s="150" t="s">
        <v>140</v>
      </c>
      <c r="F303" s="150" t="s">
        <v>854</v>
      </c>
      <c r="G303" s="146"/>
      <c r="H303" s="155"/>
      <c r="I303" s="135">
        <f t="shared" si="53"/>
        <v>0</v>
      </c>
      <c r="J303" s="147"/>
      <c r="K303" s="155">
        <v>388.26119011286301</v>
      </c>
      <c r="L303" s="88">
        <f t="shared" si="54"/>
        <v>675.790928070169</v>
      </c>
      <c r="M303" s="160">
        <v>262383.39</v>
      </c>
      <c r="N303" s="167">
        <v>2016</v>
      </c>
      <c r="O303" s="167">
        <f>IFERROR(('General Input Sheet'!$G$38/(VLOOKUP(N303,'General Input Sheet'!$E$38:$G$44,3,FALSE))),1)</f>
        <v>1</v>
      </c>
      <c r="P303" s="189">
        <f t="shared" si="46"/>
        <v>262383.39</v>
      </c>
      <c r="Q303" s="89" t="str">
        <f t="shared" si="55"/>
        <v>y</v>
      </c>
      <c r="R303" s="89" t="str">
        <f t="shared" si="55"/>
        <v>y</v>
      </c>
      <c r="S303" s="89" t="str">
        <f t="shared" si="55"/>
        <v>y</v>
      </c>
      <c r="T303" s="89" t="str">
        <f t="shared" si="55"/>
        <v>y</v>
      </c>
      <c r="U303" s="254" t="str">
        <f t="shared" si="55"/>
        <v>y</v>
      </c>
      <c r="V303" s="308"/>
      <c r="W303" s="309" cm="1">
        <f t="array" ref="W303">_xlfn.IFS(AND(Q303="y",$D303="Local"), 1, AND(Q303="y",$D303&lt;&gt;"Local"),1.49009696454663%, Q303="","")</f>
        <v>1.49009696454663E-2</v>
      </c>
      <c r="X303" s="272" cm="1">
        <f t="array" ref="X303">_xlfn.IFS(AND(R303="y",$D303="Local"), 1, AND(R303="y",$D303&lt;&gt;"Local"),20.7557554582461%, R303="","")</f>
        <v>0.207557554582461</v>
      </c>
      <c r="Y303" s="272" cm="1">
        <f t="array" ref="Y303">_xlfn.IFS(AND(S303="y",$D303="Local"), 1, AND(S303="y",$D303&lt;&gt;"Local"),30.3499104327336%, S303="","")</f>
        <v>0.30349910432733601</v>
      </c>
      <c r="Z303" s="272" cm="1">
        <f t="array" ref="Z303">_xlfn.IFS(AND(T303="y",$D303="Local"), 1, AND(T303="y",$D303&lt;&gt;"Local"),29.0043833288201%, T303="","")</f>
        <v>0.29004383328820099</v>
      </c>
      <c r="AA303" s="272" cm="1">
        <f t="array" ref="AA303">_xlfn.IFS(AND(U303="y",$D303="Local"), 1, AND(U303="y",$D303&lt;&gt;"Local"),18.3998538156536%, U303="","")</f>
        <v>0.183998538156536</v>
      </c>
      <c r="AB303" s="68">
        <f t="shared" si="47"/>
        <v>1.0000000000000004</v>
      </c>
      <c r="AD303" s="306">
        <f t="shared" si="48"/>
        <v>3909.7669298645442</v>
      </c>
      <c r="AE303" s="242">
        <f t="shared" si="49"/>
        <v>54459.654791456131</v>
      </c>
      <c r="AF303" s="242">
        <f t="shared" si="50"/>
        <v>79633.123855370068</v>
      </c>
      <c r="AG303" s="242">
        <f t="shared" si="51"/>
        <v>76102.684226753001</v>
      </c>
      <c r="AH303" s="352">
        <f t="shared" si="52"/>
        <v>48278.160196556244</v>
      </c>
    </row>
    <row r="304" spans="2:34">
      <c r="B304" s="166" t="s">
        <v>432</v>
      </c>
      <c r="C304" s="150"/>
      <c r="D304" s="150" t="s">
        <v>118</v>
      </c>
      <c r="E304" s="150" t="s">
        <v>143</v>
      </c>
      <c r="F304" s="150" t="s">
        <v>855</v>
      </c>
      <c r="G304" s="146"/>
      <c r="H304" s="155"/>
      <c r="I304" s="135">
        <f t="shared" si="53"/>
        <v>0</v>
      </c>
      <c r="J304" s="147"/>
      <c r="K304" s="155">
        <v>288.90117032529901</v>
      </c>
      <c r="L304" s="88">
        <f t="shared" si="54"/>
        <v>64.880249460029944</v>
      </c>
      <c r="M304" s="160">
        <v>18743.98</v>
      </c>
      <c r="N304" s="167">
        <v>2016</v>
      </c>
      <c r="O304" s="167">
        <f>IFERROR(('General Input Sheet'!$G$38/(VLOOKUP(N304,'General Input Sheet'!$E$38:$G$44,3,FALSE))),1)</f>
        <v>1</v>
      </c>
      <c r="P304" s="189">
        <f t="shared" si="46"/>
        <v>18743.98</v>
      </c>
      <c r="Q304" s="89" t="str">
        <f t="shared" si="55"/>
        <v>y</v>
      </c>
      <c r="R304" s="89" t="str">
        <f t="shared" si="55"/>
        <v>y</v>
      </c>
      <c r="S304" s="89" t="str">
        <f t="shared" si="55"/>
        <v>y</v>
      </c>
      <c r="T304" s="89" t="str">
        <f t="shared" si="55"/>
        <v>y</v>
      </c>
      <c r="U304" s="254" t="str">
        <f t="shared" si="55"/>
        <v>y</v>
      </c>
      <c r="V304" s="308"/>
      <c r="W304" s="309" cm="1">
        <f t="array" ref="W304">_xlfn.IFS(AND(Q304="y",$D304="Local"), 1, AND(Q304="y",$D304&lt;&gt;"Local"),1.49009696454663%, Q304="","")</f>
        <v>1.49009696454663E-2</v>
      </c>
      <c r="X304" s="272" cm="1">
        <f t="array" ref="X304">_xlfn.IFS(AND(R304="y",$D304="Local"), 1, AND(R304="y",$D304&lt;&gt;"Local"),20.7557554582461%, R304="","")</f>
        <v>0.207557554582461</v>
      </c>
      <c r="Y304" s="272" cm="1">
        <f t="array" ref="Y304">_xlfn.IFS(AND(S304="y",$D304="Local"), 1, AND(S304="y",$D304&lt;&gt;"Local"),30.3499104327336%, S304="","")</f>
        <v>0.30349910432733601</v>
      </c>
      <c r="Z304" s="272" cm="1">
        <f t="array" ref="Z304">_xlfn.IFS(AND(T304="y",$D304="Local"), 1, AND(T304="y",$D304&lt;&gt;"Local"),29.0043833288201%, T304="","")</f>
        <v>0.29004383328820099</v>
      </c>
      <c r="AA304" s="272" cm="1">
        <f t="array" ref="AA304">_xlfn.IFS(AND(U304="y",$D304="Local"), 1, AND(U304="y",$D304&lt;&gt;"Local"),18.3998538156536%, U304="","")</f>
        <v>0.183998538156536</v>
      </c>
      <c r="AB304" s="68">
        <f t="shared" si="47"/>
        <v>1.0000000000000004</v>
      </c>
      <c r="AD304" s="306">
        <f t="shared" si="48"/>
        <v>279.30347701522726</v>
      </c>
      <c r="AE304" s="242">
        <f t="shared" si="49"/>
        <v>3890.4546519425558</v>
      </c>
      <c r="AF304" s="242">
        <f t="shared" si="50"/>
        <v>5688.7811415294973</v>
      </c>
      <c r="AG304" s="242">
        <f t="shared" si="51"/>
        <v>5436.5758102773716</v>
      </c>
      <c r="AH304" s="352">
        <f t="shared" si="52"/>
        <v>3448.864919235346</v>
      </c>
    </row>
    <row r="305" spans="2:34">
      <c r="B305" s="166" t="s">
        <v>433</v>
      </c>
      <c r="C305" s="150"/>
      <c r="D305" s="150" t="s">
        <v>116</v>
      </c>
      <c r="E305" s="150" t="s">
        <v>142</v>
      </c>
      <c r="F305" s="150" t="s">
        <v>856</v>
      </c>
      <c r="G305" s="146"/>
      <c r="H305" s="155"/>
      <c r="I305" s="135">
        <f t="shared" si="53"/>
        <v>0</v>
      </c>
      <c r="J305" s="147"/>
      <c r="K305" s="155">
        <v>1869.96556169154</v>
      </c>
      <c r="L305" s="88">
        <f t="shared" si="54"/>
        <v>85.194044887057103</v>
      </c>
      <c r="M305" s="160">
        <v>159309.93</v>
      </c>
      <c r="N305" s="167">
        <v>2016</v>
      </c>
      <c r="O305" s="167">
        <f>IFERROR(('General Input Sheet'!$G$38/(VLOOKUP(N305,'General Input Sheet'!$E$38:$G$44,3,FALSE))),1)</f>
        <v>1</v>
      </c>
      <c r="P305" s="189">
        <f t="shared" si="46"/>
        <v>159309.93</v>
      </c>
      <c r="Q305" s="89" t="str">
        <f t="shared" si="55"/>
        <v/>
      </c>
      <c r="R305" s="89" t="str">
        <f t="shared" si="55"/>
        <v/>
      </c>
      <c r="S305" s="89" t="str">
        <f t="shared" si="55"/>
        <v/>
      </c>
      <c r="T305" s="89" t="str">
        <f t="shared" si="55"/>
        <v>y</v>
      </c>
      <c r="U305" s="254" t="str">
        <f t="shared" si="55"/>
        <v/>
      </c>
      <c r="V305" s="308"/>
      <c r="W305" s="309" t="str" cm="1">
        <f t="array" ref="W305">_xlfn.IFS(AND(Q305="y",$D305="Local"), 1, AND(Q305="y",$D305&lt;&gt;"Local"),1.49009696454663%, Q305="","")</f>
        <v/>
      </c>
      <c r="X305" s="272" t="str" cm="1">
        <f t="array" ref="X305">_xlfn.IFS(AND(R305="y",$D305="Local"), 1, AND(R305="y",$D305&lt;&gt;"Local"),20.7557554582461%, R305="","")</f>
        <v/>
      </c>
      <c r="Y305" s="272" t="str" cm="1">
        <f t="array" ref="Y305">_xlfn.IFS(AND(S305="y",$D305="Local"), 1, AND(S305="y",$D305&lt;&gt;"Local"),30.3499104327336%, S305="","")</f>
        <v/>
      </c>
      <c r="Z305" s="272" cm="1">
        <f t="array" ref="Z305">_xlfn.IFS(AND(T305="y",$D305="Local"), 1, AND(T305="y",$D305&lt;&gt;"Local"),29.0043833288201%, T305="","")</f>
        <v>1</v>
      </c>
      <c r="AA305" s="272" t="str" cm="1">
        <f t="array" ref="AA305">_xlfn.IFS(AND(U305="y",$D305="Local"), 1, AND(U305="y",$D305&lt;&gt;"Local"),18.3998538156536%, U305="","")</f>
        <v/>
      </c>
      <c r="AB305" s="68">
        <f t="shared" si="47"/>
        <v>1</v>
      </c>
      <c r="AD305" s="306" t="str">
        <f t="shared" si="48"/>
        <v/>
      </c>
      <c r="AE305" s="242" t="str">
        <f t="shared" si="49"/>
        <v/>
      </c>
      <c r="AF305" s="242" t="str">
        <f t="shared" si="50"/>
        <v/>
      </c>
      <c r="AG305" s="242">
        <f t="shared" si="51"/>
        <v>159309.93</v>
      </c>
      <c r="AH305" s="352" t="str">
        <f t="shared" si="52"/>
        <v/>
      </c>
    </row>
    <row r="306" spans="2:34">
      <c r="B306" s="166" t="s">
        <v>434</v>
      </c>
      <c r="C306" s="150"/>
      <c r="D306" s="150" t="s">
        <v>116</v>
      </c>
      <c r="E306" s="150" t="s">
        <v>141</v>
      </c>
      <c r="F306" s="150" t="s">
        <v>857</v>
      </c>
      <c r="G306" s="146"/>
      <c r="H306" s="155"/>
      <c r="I306" s="135">
        <f t="shared" si="53"/>
        <v>0</v>
      </c>
      <c r="J306" s="147"/>
      <c r="K306" s="155">
        <v>484.31727311795299</v>
      </c>
      <c r="L306" s="88">
        <f t="shared" si="54"/>
        <v>553.69796801504879</v>
      </c>
      <c r="M306" s="160">
        <v>268165.49</v>
      </c>
      <c r="N306" s="167">
        <v>2016</v>
      </c>
      <c r="O306" s="167">
        <f>IFERROR(('General Input Sheet'!$G$38/(VLOOKUP(N306,'General Input Sheet'!$E$38:$G$44,3,FALSE))),1)</f>
        <v>1</v>
      </c>
      <c r="P306" s="189">
        <f t="shared" si="46"/>
        <v>268165.49</v>
      </c>
      <c r="Q306" s="89" t="str">
        <f t="shared" si="55"/>
        <v/>
      </c>
      <c r="R306" s="89" t="str">
        <f t="shared" si="55"/>
        <v/>
      </c>
      <c r="S306" s="89" t="str">
        <f t="shared" si="55"/>
        <v>y</v>
      </c>
      <c r="T306" s="89" t="str">
        <f t="shared" si="55"/>
        <v/>
      </c>
      <c r="U306" s="254" t="str">
        <f t="shared" si="55"/>
        <v/>
      </c>
      <c r="V306" s="308"/>
      <c r="W306" s="309" t="str" cm="1">
        <f t="array" ref="W306">_xlfn.IFS(AND(Q306="y",$D306="Local"), 1, AND(Q306="y",$D306&lt;&gt;"Local"),1.49009696454663%, Q306="","")</f>
        <v/>
      </c>
      <c r="X306" s="272" t="str" cm="1">
        <f t="array" ref="X306">_xlfn.IFS(AND(R306="y",$D306="Local"), 1, AND(R306="y",$D306&lt;&gt;"Local"),20.7557554582461%, R306="","")</f>
        <v/>
      </c>
      <c r="Y306" s="272" cm="1">
        <f t="array" ref="Y306">_xlfn.IFS(AND(S306="y",$D306="Local"), 1, AND(S306="y",$D306&lt;&gt;"Local"),30.3499104327336%, S306="","")</f>
        <v>1</v>
      </c>
      <c r="Z306" s="272" t="str" cm="1">
        <f t="array" ref="Z306">_xlfn.IFS(AND(T306="y",$D306="Local"), 1, AND(T306="y",$D306&lt;&gt;"Local"),29.0043833288201%, T306="","")</f>
        <v/>
      </c>
      <c r="AA306" s="272" t="str" cm="1">
        <f t="array" ref="AA306">_xlfn.IFS(AND(U306="y",$D306="Local"), 1, AND(U306="y",$D306&lt;&gt;"Local"),18.3998538156536%, U306="","")</f>
        <v/>
      </c>
      <c r="AB306" s="68">
        <f t="shared" si="47"/>
        <v>1</v>
      </c>
      <c r="AD306" s="306" t="str">
        <f t="shared" si="48"/>
        <v/>
      </c>
      <c r="AE306" s="242" t="str">
        <f t="shared" si="49"/>
        <v/>
      </c>
      <c r="AF306" s="242">
        <f t="shared" si="50"/>
        <v>268165.49</v>
      </c>
      <c r="AG306" s="242" t="str">
        <f t="shared" si="51"/>
        <v/>
      </c>
      <c r="AH306" s="352" t="str">
        <f t="shared" si="52"/>
        <v/>
      </c>
    </row>
    <row r="307" spans="2:34">
      <c r="B307" s="166" t="s">
        <v>435</v>
      </c>
      <c r="C307" s="150"/>
      <c r="D307" s="150" t="s">
        <v>118</v>
      </c>
      <c r="E307" s="150" t="s">
        <v>142</v>
      </c>
      <c r="F307" s="150" t="s">
        <v>858</v>
      </c>
      <c r="G307" s="146">
        <v>56000</v>
      </c>
      <c r="H307" s="155">
        <v>5224</v>
      </c>
      <c r="I307" s="135">
        <f t="shared" si="53"/>
        <v>45</v>
      </c>
      <c r="J307" s="147">
        <v>291080</v>
      </c>
      <c r="K307" s="155">
        <v>5844.1143727367398</v>
      </c>
      <c r="L307" s="88">
        <f t="shared" si="54"/>
        <v>83.178849522132325</v>
      </c>
      <c r="M307" s="160">
        <v>486106.71</v>
      </c>
      <c r="N307" s="167">
        <v>2016</v>
      </c>
      <c r="O307" s="167">
        <f>IFERROR(('General Input Sheet'!$G$38/(VLOOKUP(N307,'General Input Sheet'!$E$38:$G$44,3,FALSE))),1)</f>
        <v>1</v>
      </c>
      <c r="P307" s="189">
        <f t="shared" si="46"/>
        <v>777186.71</v>
      </c>
      <c r="Q307" s="89" t="str">
        <f t="shared" si="55"/>
        <v>y</v>
      </c>
      <c r="R307" s="89" t="str">
        <f t="shared" si="55"/>
        <v>y</v>
      </c>
      <c r="S307" s="89" t="str">
        <f t="shared" si="55"/>
        <v>y</v>
      </c>
      <c r="T307" s="89" t="str">
        <f t="shared" si="55"/>
        <v>y</v>
      </c>
      <c r="U307" s="254" t="str">
        <f t="shared" si="55"/>
        <v>y</v>
      </c>
      <c r="V307" s="308"/>
      <c r="W307" s="309" cm="1">
        <f t="array" ref="W307">_xlfn.IFS(AND(Q307="y",$D307="Local"), 1, AND(Q307="y",$D307&lt;&gt;"Local"),1.49009696454663%, Q307="","")</f>
        <v>1.49009696454663E-2</v>
      </c>
      <c r="X307" s="272" cm="1">
        <f t="array" ref="X307">_xlfn.IFS(AND(R307="y",$D307="Local"), 1, AND(R307="y",$D307&lt;&gt;"Local"),20.7557554582461%, R307="","")</f>
        <v>0.207557554582461</v>
      </c>
      <c r="Y307" s="272" cm="1">
        <f t="array" ref="Y307">_xlfn.IFS(AND(S307="y",$D307="Local"), 1, AND(S307="y",$D307&lt;&gt;"Local"),30.3499104327336%, S307="","")</f>
        <v>0.30349910432733601</v>
      </c>
      <c r="Z307" s="272" cm="1">
        <f t="array" ref="Z307">_xlfn.IFS(AND(T307="y",$D307="Local"), 1, AND(T307="y",$D307&lt;&gt;"Local"),29.0043833288201%, T307="","")</f>
        <v>0.29004383328820099</v>
      </c>
      <c r="AA307" s="272" cm="1">
        <f t="array" ref="AA307">_xlfn.IFS(AND(U307="y",$D307="Local"), 1, AND(U307="y",$D307&lt;&gt;"Local"),18.3998538156536%, U307="","")</f>
        <v>0.183998538156536</v>
      </c>
      <c r="AB307" s="68">
        <f t="shared" si="47"/>
        <v>1.0000000000000004</v>
      </c>
      <c r="AD307" s="306">
        <f t="shared" si="48"/>
        <v>11580.835574569814</v>
      </c>
      <c r="AE307" s="242">
        <f t="shared" si="49"/>
        <v>161310.97298158822</v>
      </c>
      <c r="AF307" s="242">
        <f t="shared" si="50"/>
        <v>235875.47038010895</v>
      </c>
      <c r="AG307" s="242">
        <f t="shared" si="51"/>
        <v>225418.2125490453</v>
      </c>
      <c r="AH307" s="352">
        <f t="shared" si="52"/>
        <v>143001.21851468761</v>
      </c>
    </row>
    <row r="308" spans="2:34">
      <c r="B308" s="166" t="s">
        <v>436</v>
      </c>
      <c r="C308" s="150"/>
      <c r="D308" s="150" t="s">
        <v>116</v>
      </c>
      <c r="E308" s="150" t="s">
        <v>141</v>
      </c>
      <c r="F308" s="150" t="s">
        <v>859</v>
      </c>
      <c r="G308" s="146"/>
      <c r="H308" s="155"/>
      <c r="I308" s="135">
        <f t="shared" si="53"/>
        <v>0</v>
      </c>
      <c r="J308" s="147"/>
      <c r="K308" s="155">
        <v>114.106306031076</v>
      </c>
      <c r="L308" s="88">
        <f t="shared" si="54"/>
        <v>280.75994319959057</v>
      </c>
      <c r="M308" s="160">
        <v>32036.48</v>
      </c>
      <c r="N308" s="167">
        <v>2016</v>
      </c>
      <c r="O308" s="167">
        <f>IFERROR(('General Input Sheet'!$G$38/(VLOOKUP(N308,'General Input Sheet'!$E$38:$G$44,3,FALSE))),1)</f>
        <v>1</v>
      </c>
      <c r="P308" s="189">
        <f t="shared" si="46"/>
        <v>32036.48</v>
      </c>
      <c r="Q308" s="89" t="str">
        <f t="shared" si="55"/>
        <v/>
      </c>
      <c r="R308" s="89" t="str">
        <f t="shared" si="55"/>
        <v/>
      </c>
      <c r="S308" s="89" t="str">
        <f t="shared" si="55"/>
        <v>y</v>
      </c>
      <c r="T308" s="89" t="str">
        <f t="shared" si="55"/>
        <v/>
      </c>
      <c r="U308" s="254" t="str">
        <f t="shared" si="55"/>
        <v/>
      </c>
      <c r="V308" s="308"/>
      <c r="W308" s="309" t="str" cm="1">
        <f t="array" ref="W308">_xlfn.IFS(AND(Q308="y",$D308="Local"), 1, AND(Q308="y",$D308&lt;&gt;"Local"),1.49009696454663%, Q308="","")</f>
        <v/>
      </c>
      <c r="X308" s="272" t="str" cm="1">
        <f t="array" ref="X308">_xlfn.IFS(AND(R308="y",$D308="Local"), 1, AND(R308="y",$D308&lt;&gt;"Local"),20.7557554582461%, R308="","")</f>
        <v/>
      </c>
      <c r="Y308" s="272" cm="1">
        <f t="array" ref="Y308">_xlfn.IFS(AND(S308="y",$D308="Local"), 1, AND(S308="y",$D308&lt;&gt;"Local"),30.3499104327336%, S308="","")</f>
        <v>1</v>
      </c>
      <c r="Z308" s="272" t="str" cm="1">
        <f t="array" ref="Z308">_xlfn.IFS(AND(T308="y",$D308="Local"), 1, AND(T308="y",$D308&lt;&gt;"Local"),29.0043833288201%, T308="","")</f>
        <v/>
      </c>
      <c r="AA308" s="272" t="str" cm="1">
        <f t="array" ref="AA308">_xlfn.IFS(AND(U308="y",$D308="Local"), 1, AND(U308="y",$D308&lt;&gt;"Local"),18.3998538156536%, U308="","")</f>
        <v/>
      </c>
      <c r="AB308" s="68">
        <f t="shared" si="47"/>
        <v>1</v>
      </c>
      <c r="AD308" s="306" t="str">
        <f t="shared" si="48"/>
        <v/>
      </c>
      <c r="AE308" s="242" t="str">
        <f t="shared" si="49"/>
        <v/>
      </c>
      <c r="AF308" s="242">
        <f t="shared" si="50"/>
        <v>32036.48</v>
      </c>
      <c r="AG308" s="242" t="str">
        <f t="shared" si="51"/>
        <v/>
      </c>
      <c r="AH308" s="352" t="str">
        <f t="shared" si="52"/>
        <v/>
      </c>
    </row>
    <row r="309" spans="2:34">
      <c r="B309" s="166" t="s">
        <v>437</v>
      </c>
      <c r="C309" s="150"/>
      <c r="D309" s="150" t="s">
        <v>117</v>
      </c>
      <c r="E309" s="150" t="s">
        <v>141</v>
      </c>
      <c r="F309" s="150" t="s">
        <v>860</v>
      </c>
      <c r="G309" s="146"/>
      <c r="H309" s="155"/>
      <c r="I309" s="135">
        <f t="shared" si="53"/>
        <v>0</v>
      </c>
      <c r="J309" s="147"/>
      <c r="K309" s="155">
        <v>645.87049853520602</v>
      </c>
      <c r="L309" s="88">
        <f t="shared" si="54"/>
        <v>303.1691344380651</v>
      </c>
      <c r="M309" s="160">
        <v>195808</v>
      </c>
      <c r="N309" s="167">
        <v>2016</v>
      </c>
      <c r="O309" s="167">
        <f>IFERROR(('General Input Sheet'!$G$38/(VLOOKUP(N309,'General Input Sheet'!$E$38:$G$44,3,FALSE))),1)</f>
        <v>1</v>
      </c>
      <c r="P309" s="189">
        <f t="shared" si="46"/>
        <v>195808</v>
      </c>
      <c r="Q309" s="89" t="str">
        <f t="shared" si="55"/>
        <v>y</v>
      </c>
      <c r="R309" s="89" t="str">
        <f t="shared" si="55"/>
        <v>y</v>
      </c>
      <c r="S309" s="89" t="str">
        <f t="shared" si="55"/>
        <v>y</v>
      </c>
      <c r="T309" s="89" t="str">
        <f t="shared" si="55"/>
        <v>y</v>
      </c>
      <c r="U309" s="254" t="str">
        <f t="shared" si="55"/>
        <v>y</v>
      </c>
      <c r="V309" s="308"/>
      <c r="W309" s="309" cm="1">
        <f t="array" ref="W309">_xlfn.IFS(AND(Q309="y",$D309="Local"), 1, AND(Q309="y",$D309&lt;&gt;"Local"),1.49009696454663%, Q309="","")</f>
        <v>1.49009696454663E-2</v>
      </c>
      <c r="X309" s="272" cm="1">
        <f t="array" ref="X309">_xlfn.IFS(AND(R309="y",$D309="Local"), 1, AND(R309="y",$D309&lt;&gt;"Local"),20.7557554582461%, R309="","")</f>
        <v>0.207557554582461</v>
      </c>
      <c r="Y309" s="272" cm="1">
        <f t="array" ref="Y309">_xlfn.IFS(AND(S309="y",$D309="Local"), 1, AND(S309="y",$D309&lt;&gt;"Local"),30.3499104327336%, S309="","")</f>
        <v>0.30349910432733601</v>
      </c>
      <c r="Z309" s="272" cm="1">
        <f t="array" ref="Z309">_xlfn.IFS(AND(T309="y",$D309="Local"), 1, AND(T309="y",$D309&lt;&gt;"Local"),29.0043833288201%, T309="","")</f>
        <v>0.29004383328820099</v>
      </c>
      <c r="AA309" s="272" cm="1">
        <f t="array" ref="AA309">_xlfn.IFS(AND(U309="y",$D309="Local"), 1, AND(U309="y",$D309&lt;&gt;"Local"),18.3998538156536%, U309="","")</f>
        <v>0.183998538156536</v>
      </c>
      <c r="AB309" s="68">
        <f t="shared" si="47"/>
        <v>1.0000000000000004</v>
      </c>
      <c r="AD309" s="306">
        <f t="shared" si="48"/>
        <v>2917.729064339464</v>
      </c>
      <c r="AE309" s="242">
        <f t="shared" si="49"/>
        <v>40641.429647682504</v>
      </c>
      <c r="AF309" s="242">
        <f t="shared" si="50"/>
        <v>59427.552620126989</v>
      </c>
      <c r="AG309" s="242">
        <f t="shared" si="51"/>
        <v>56792.902908496035</v>
      </c>
      <c r="AH309" s="352">
        <f t="shared" si="52"/>
        <v>36028.385759354984</v>
      </c>
    </row>
    <row r="310" spans="2:34">
      <c r="B310" s="166" t="s">
        <v>438</v>
      </c>
      <c r="C310" s="150"/>
      <c r="D310" s="150" t="s">
        <v>117</v>
      </c>
      <c r="E310" s="150" t="s">
        <v>141</v>
      </c>
      <c r="F310" s="150" t="s">
        <v>861</v>
      </c>
      <c r="G310" s="146"/>
      <c r="H310" s="155"/>
      <c r="I310" s="135">
        <f t="shared" si="53"/>
        <v>0</v>
      </c>
      <c r="J310" s="147"/>
      <c r="K310" s="155">
        <v>302.76276708091899</v>
      </c>
      <c r="L310" s="88">
        <f t="shared" si="54"/>
        <v>308.99770438085676</v>
      </c>
      <c r="M310" s="160">
        <v>93553</v>
      </c>
      <c r="N310" s="167">
        <v>2016</v>
      </c>
      <c r="O310" s="167">
        <f>IFERROR(('General Input Sheet'!$G$38/(VLOOKUP(N310,'General Input Sheet'!$E$38:$G$44,3,FALSE))),1)</f>
        <v>1</v>
      </c>
      <c r="P310" s="189">
        <f t="shared" si="46"/>
        <v>93553</v>
      </c>
      <c r="Q310" s="89" t="str">
        <f t="shared" si="55"/>
        <v>y</v>
      </c>
      <c r="R310" s="89" t="str">
        <f t="shared" si="55"/>
        <v>y</v>
      </c>
      <c r="S310" s="89" t="str">
        <f t="shared" si="55"/>
        <v>y</v>
      </c>
      <c r="T310" s="89" t="str">
        <f t="shared" si="55"/>
        <v>y</v>
      </c>
      <c r="U310" s="254" t="str">
        <f t="shared" si="55"/>
        <v>y</v>
      </c>
      <c r="V310" s="308"/>
      <c r="W310" s="309" cm="1">
        <f t="array" ref="W310">_xlfn.IFS(AND(Q310="y",$D310="Local"), 1, AND(Q310="y",$D310&lt;&gt;"Local"),1.49009696454663%, Q310="","")</f>
        <v>1.49009696454663E-2</v>
      </c>
      <c r="X310" s="272" cm="1">
        <f t="array" ref="X310">_xlfn.IFS(AND(R310="y",$D310="Local"), 1, AND(R310="y",$D310&lt;&gt;"Local"),20.7557554582461%, R310="","")</f>
        <v>0.207557554582461</v>
      </c>
      <c r="Y310" s="272" cm="1">
        <f t="array" ref="Y310">_xlfn.IFS(AND(S310="y",$D310="Local"), 1, AND(S310="y",$D310&lt;&gt;"Local"),30.3499104327336%, S310="","")</f>
        <v>0.30349910432733601</v>
      </c>
      <c r="Z310" s="272" cm="1">
        <f t="array" ref="Z310">_xlfn.IFS(AND(T310="y",$D310="Local"), 1, AND(T310="y",$D310&lt;&gt;"Local"),29.0043833288201%, T310="","")</f>
        <v>0.29004383328820099</v>
      </c>
      <c r="AA310" s="272" cm="1">
        <f t="array" ref="AA310">_xlfn.IFS(AND(U310="y",$D310="Local"), 1, AND(U310="y",$D310&lt;&gt;"Local"),18.3998538156536%, U310="","")</f>
        <v>0.183998538156536</v>
      </c>
      <c r="AB310" s="68">
        <f t="shared" si="47"/>
        <v>1.0000000000000004</v>
      </c>
      <c r="AD310" s="306">
        <f t="shared" si="48"/>
        <v>1394.0304132423082</v>
      </c>
      <c r="AE310" s="242">
        <f t="shared" si="49"/>
        <v>19417.631903852965</v>
      </c>
      <c r="AF310" s="242">
        <f t="shared" si="50"/>
        <v>28393.251707135256</v>
      </c>
      <c r="AG310" s="242">
        <f t="shared" si="51"/>
        <v>27134.470735611056</v>
      </c>
      <c r="AH310" s="352">
        <f t="shared" si="52"/>
        <v>17213.615240158404</v>
      </c>
    </row>
    <row r="311" spans="2:34">
      <c r="B311" s="166" t="s">
        <v>439</v>
      </c>
      <c r="C311" s="150"/>
      <c r="D311" s="150" t="s">
        <v>118</v>
      </c>
      <c r="E311" s="150" t="s">
        <v>141</v>
      </c>
      <c r="F311" s="150" t="s">
        <v>862</v>
      </c>
      <c r="G311" s="146">
        <v>56000</v>
      </c>
      <c r="H311" s="155">
        <v>2520</v>
      </c>
      <c r="I311" s="135">
        <f t="shared" si="53"/>
        <v>45</v>
      </c>
      <c r="J311" s="147">
        <v>169400</v>
      </c>
      <c r="K311" s="155">
        <v>2824.9687514617599</v>
      </c>
      <c r="L311" s="88">
        <f t="shared" si="54"/>
        <v>268.40207333538137</v>
      </c>
      <c r="M311" s="160">
        <v>758227.47</v>
      </c>
      <c r="N311" s="167">
        <v>2016</v>
      </c>
      <c r="O311" s="167">
        <f>IFERROR(('General Input Sheet'!$G$38/(VLOOKUP(N311,'General Input Sheet'!$E$38:$G$44,3,FALSE))),1)</f>
        <v>1</v>
      </c>
      <c r="P311" s="189">
        <f t="shared" si="46"/>
        <v>927627.47</v>
      </c>
      <c r="Q311" s="89" t="str">
        <f t="shared" si="55"/>
        <v>y</v>
      </c>
      <c r="R311" s="89" t="str">
        <f t="shared" si="55"/>
        <v>y</v>
      </c>
      <c r="S311" s="89" t="str">
        <f t="shared" si="55"/>
        <v>y</v>
      </c>
      <c r="T311" s="89" t="str">
        <f t="shared" si="55"/>
        <v>y</v>
      </c>
      <c r="U311" s="254" t="str">
        <f t="shared" si="55"/>
        <v>y</v>
      </c>
      <c r="V311" s="308"/>
      <c r="W311" s="309" cm="1">
        <f t="array" ref="W311">_xlfn.IFS(AND(Q311="y",$D311="Local"), 1, AND(Q311="y",$D311&lt;&gt;"Local"),1.49009696454663%, Q311="","")</f>
        <v>1.49009696454663E-2</v>
      </c>
      <c r="X311" s="272" cm="1">
        <f t="array" ref="X311">_xlfn.IFS(AND(R311="y",$D311="Local"), 1, AND(R311="y",$D311&lt;&gt;"Local"),20.7557554582461%, R311="","")</f>
        <v>0.207557554582461</v>
      </c>
      <c r="Y311" s="272" cm="1">
        <f t="array" ref="Y311">_xlfn.IFS(AND(S311="y",$D311="Local"), 1, AND(S311="y",$D311&lt;&gt;"Local"),30.3499104327336%, S311="","")</f>
        <v>0.30349910432733601</v>
      </c>
      <c r="Z311" s="272" cm="1">
        <f t="array" ref="Z311">_xlfn.IFS(AND(T311="y",$D311="Local"), 1, AND(T311="y",$D311&lt;&gt;"Local"),29.0043833288201%, T311="","")</f>
        <v>0.29004383328820099</v>
      </c>
      <c r="AA311" s="272" cm="1">
        <f t="array" ref="AA311">_xlfn.IFS(AND(U311="y",$D311="Local"), 1, AND(U311="y",$D311&lt;&gt;"Local"),18.3998538156536%, U311="","")</f>
        <v>0.183998538156536</v>
      </c>
      <c r="AB311" s="68">
        <f t="shared" si="47"/>
        <v>1.0000000000000004</v>
      </c>
      <c r="AD311" s="306">
        <f t="shared" si="48"/>
        <v>13822.548772770695</v>
      </c>
      <c r="AE311" s="242">
        <f t="shared" si="49"/>
        <v>192536.08923671511</v>
      </c>
      <c r="AF311" s="242">
        <f t="shared" si="50"/>
        <v>281534.10629443265</v>
      </c>
      <c r="AG311" s="242">
        <f t="shared" si="51"/>
        <v>269052.62726223556</v>
      </c>
      <c r="AH311" s="352">
        <f t="shared" si="52"/>
        <v>170682.09843384588</v>
      </c>
    </row>
    <row r="312" spans="2:34">
      <c r="B312" s="166" t="s">
        <v>440</v>
      </c>
      <c r="C312" s="150"/>
      <c r="D312" s="150" t="s">
        <v>116</v>
      </c>
      <c r="E312" s="150" t="s">
        <v>142</v>
      </c>
      <c r="F312" s="150" t="s">
        <v>863</v>
      </c>
      <c r="G312" s="146"/>
      <c r="H312" s="155"/>
      <c r="I312" s="135">
        <f t="shared" si="53"/>
        <v>0</v>
      </c>
      <c r="J312" s="147"/>
      <c r="K312" s="155">
        <v>1468.32425299957</v>
      </c>
      <c r="L312" s="88">
        <f t="shared" si="54"/>
        <v>41.525296524553049</v>
      </c>
      <c r="M312" s="160">
        <v>60972.6</v>
      </c>
      <c r="N312" s="167">
        <v>2016</v>
      </c>
      <c r="O312" s="167">
        <f>IFERROR(('General Input Sheet'!$G$38/(VLOOKUP(N312,'General Input Sheet'!$E$38:$G$44,3,FALSE))),1)</f>
        <v>1</v>
      </c>
      <c r="P312" s="189">
        <f t="shared" si="46"/>
        <v>60972.6</v>
      </c>
      <c r="Q312" s="89" t="str">
        <f t="shared" si="55"/>
        <v/>
      </c>
      <c r="R312" s="89" t="str">
        <f t="shared" si="55"/>
        <v/>
      </c>
      <c r="S312" s="89" t="str">
        <f t="shared" si="55"/>
        <v/>
      </c>
      <c r="T312" s="89" t="str">
        <f t="shared" si="55"/>
        <v>y</v>
      </c>
      <c r="U312" s="254" t="str">
        <f t="shared" si="55"/>
        <v/>
      </c>
      <c r="V312" s="308"/>
      <c r="W312" s="309" t="str" cm="1">
        <f t="array" ref="W312">_xlfn.IFS(AND(Q312="y",$D312="Local"), 1, AND(Q312="y",$D312&lt;&gt;"Local"),1.49009696454663%, Q312="","")</f>
        <v/>
      </c>
      <c r="X312" s="272" t="str" cm="1">
        <f t="array" ref="X312">_xlfn.IFS(AND(R312="y",$D312="Local"), 1, AND(R312="y",$D312&lt;&gt;"Local"),20.7557554582461%, R312="","")</f>
        <v/>
      </c>
      <c r="Y312" s="272" t="str" cm="1">
        <f t="array" ref="Y312">_xlfn.IFS(AND(S312="y",$D312="Local"), 1, AND(S312="y",$D312&lt;&gt;"Local"),30.3499104327336%, S312="","")</f>
        <v/>
      </c>
      <c r="Z312" s="272" cm="1">
        <f t="array" ref="Z312">_xlfn.IFS(AND(T312="y",$D312="Local"), 1, AND(T312="y",$D312&lt;&gt;"Local"),29.0043833288201%, T312="","")</f>
        <v>1</v>
      </c>
      <c r="AA312" s="272" t="str" cm="1">
        <f t="array" ref="AA312">_xlfn.IFS(AND(U312="y",$D312="Local"), 1, AND(U312="y",$D312&lt;&gt;"Local"),18.3998538156536%, U312="","")</f>
        <v/>
      </c>
      <c r="AB312" s="68">
        <f t="shared" si="47"/>
        <v>1</v>
      </c>
      <c r="AD312" s="306" t="str">
        <f t="shared" si="48"/>
        <v/>
      </c>
      <c r="AE312" s="242" t="str">
        <f t="shared" si="49"/>
        <v/>
      </c>
      <c r="AF312" s="242" t="str">
        <f t="shared" si="50"/>
        <v/>
      </c>
      <c r="AG312" s="242">
        <f t="shared" si="51"/>
        <v>60972.6</v>
      </c>
      <c r="AH312" s="352" t="str">
        <f t="shared" si="52"/>
        <v/>
      </c>
    </row>
    <row r="313" spans="2:34">
      <c r="B313" s="166" t="s">
        <v>441</v>
      </c>
      <c r="C313" s="150"/>
      <c r="D313" s="150" t="s">
        <v>116</v>
      </c>
      <c r="E313" s="150" t="s">
        <v>141</v>
      </c>
      <c r="F313" s="150" t="s">
        <v>864</v>
      </c>
      <c r="G313" s="146"/>
      <c r="H313" s="155"/>
      <c r="I313" s="135">
        <f t="shared" si="53"/>
        <v>0</v>
      </c>
      <c r="J313" s="147"/>
      <c r="K313" s="155">
        <v>53641.872628128302</v>
      </c>
      <c r="L313" s="88">
        <f t="shared" si="54"/>
        <v>5.5042250677351543</v>
      </c>
      <c r="M313" s="160">
        <v>295256.94</v>
      </c>
      <c r="N313" s="167">
        <v>2016</v>
      </c>
      <c r="O313" s="167">
        <f>IFERROR(('General Input Sheet'!$G$38/(VLOOKUP(N313,'General Input Sheet'!$E$38:$G$44,3,FALSE))),1)</f>
        <v>1</v>
      </c>
      <c r="P313" s="189">
        <f t="shared" si="46"/>
        <v>295256.94</v>
      </c>
      <c r="Q313" s="89" t="str">
        <f t="shared" si="55"/>
        <v/>
      </c>
      <c r="R313" s="89" t="str">
        <f t="shared" si="55"/>
        <v/>
      </c>
      <c r="S313" s="89" t="str">
        <f t="shared" si="55"/>
        <v>y</v>
      </c>
      <c r="T313" s="89" t="str">
        <f t="shared" si="55"/>
        <v/>
      </c>
      <c r="U313" s="254" t="str">
        <f t="shared" si="55"/>
        <v/>
      </c>
      <c r="V313" s="308"/>
      <c r="W313" s="309" t="str" cm="1">
        <f t="array" ref="W313">_xlfn.IFS(AND(Q313="y",$D313="Local"), 1, AND(Q313="y",$D313&lt;&gt;"Local"),1.49009696454663%, Q313="","")</f>
        <v/>
      </c>
      <c r="X313" s="272" t="str" cm="1">
        <f t="array" ref="X313">_xlfn.IFS(AND(R313="y",$D313="Local"), 1, AND(R313="y",$D313&lt;&gt;"Local"),20.7557554582461%, R313="","")</f>
        <v/>
      </c>
      <c r="Y313" s="272" cm="1">
        <f t="array" ref="Y313">_xlfn.IFS(AND(S313="y",$D313="Local"), 1, AND(S313="y",$D313&lt;&gt;"Local"),30.3499104327336%, S313="","")</f>
        <v>1</v>
      </c>
      <c r="Z313" s="272" t="str" cm="1">
        <f t="array" ref="Z313">_xlfn.IFS(AND(T313="y",$D313="Local"), 1, AND(T313="y",$D313&lt;&gt;"Local"),29.0043833288201%, T313="","")</f>
        <v/>
      </c>
      <c r="AA313" s="272" t="str" cm="1">
        <f t="array" ref="AA313">_xlfn.IFS(AND(U313="y",$D313="Local"), 1, AND(U313="y",$D313&lt;&gt;"Local"),18.3998538156536%, U313="","")</f>
        <v/>
      </c>
      <c r="AB313" s="68">
        <f t="shared" si="47"/>
        <v>1</v>
      </c>
      <c r="AD313" s="306" t="str">
        <f t="shared" si="48"/>
        <v/>
      </c>
      <c r="AE313" s="242" t="str">
        <f t="shared" si="49"/>
        <v/>
      </c>
      <c r="AF313" s="242">
        <f t="shared" si="50"/>
        <v>295256.94</v>
      </c>
      <c r="AG313" s="242" t="str">
        <f t="shared" si="51"/>
        <v/>
      </c>
      <c r="AH313" s="352" t="str">
        <f t="shared" si="52"/>
        <v/>
      </c>
    </row>
    <row r="314" spans="2:34">
      <c r="B314" s="166" t="s">
        <v>442</v>
      </c>
      <c r="C314" s="150"/>
      <c r="D314" s="150" t="s">
        <v>118</v>
      </c>
      <c r="E314" s="150" t="s">
        <v>140</v>
      </c>
      <c r="F314" s="150" t="s">
        <v>865</v>
      </c>
      <c r="G314" s="146"/>
      <c r="H314" s="155"/>
      <c r="I314" s="135">
        <f t="shared" si="53"/>
        <v>0</v>
      </c>
      <c r="J314" s="147"/>
      <c r="K314" s="155">
        <v>387.73395372648997</v>
      </c>
      <c r="L314" s="88">
        <f t="shared" si="54"/>
        <v>676.70986117735504</v>
      </c>
      <c r="M314" s="160">
        <v>262383.39</v>
      </c>
      <c r="N314" s="167">
        <v>2016</v>
      </c>
      <c r="O314" s="167">
        <f>IFERROR(('General Input Sheet'!$G$38/(VLOOKUP(N314,'General Input Sheet'!$E$38:$G$44,3,FALSE))),1)</f>
        <v>1</v>
      </c>
      <c r="P314" s="189">
        <f t="shared" si="46"/>
        <v>262383.39</v>
      </c>
      <c r="Q314" s="89" t="str">
        <f t="shared" si="55"/>
        <v>y</v>
      </c>
      <c r="R314" s="89" t="str">
        <f t="shared" si="55"/>
        <v>y</v>
      </c>
      <c r="S314" s="89" t="str">
        <f t="shared" si="55"/>
        <v>y</v>
      </c>
      <c r="T314" s="89" t="str">
        <f t="shared" si="55"/>
        <v>y</v>
      </c>
      <c r="U314" s="254" t="str">
        <f t="shared" si="55"/>
        <v>y</v>
      </c>
      <c r="V314" s="308"/>
      <c r="W314" s="309" cm="1">
        <f t="array" ref="W314">_xlfn.IFS(AND(Q314="y",$D314="Local"), 1, AND(Q314="y",$D314&lt;&gt;"Local"),1.49009696454663%, Q314="","")</f>
        <v>1.49009696454663E-2</v>
      </c>
      <c r="X314" s="272" cm="1">
        <f t="array" ref="X314">_xlfn.IFS(AND(R314="y",$D314="Local"), 1, AND(R314="y",$D314&lt;&gt;"Local"),20.7557554582461%, R314="","")</f>
        <v>0.207557554582461</v>
      </c>
      <c r="Y314" s="272" cm="1">
        <f t="array" ref="Y314">_xlfn.IFS(AND(S314="y",$D314="Local"), 1, AND(S314="y",$D314&lt;&gt;"Local"),30.3499104327336%, S314="","")</f>
        <v>0.30349910432733601</v>
      </c>
      <c r="Z314" s="272" cm="1">
        <f t="array" ref="Z314">_xlfn.IFS(AND(T314="y",$D314="Local"), 1, AND(T314="y",$D314&lt;&gt;"Local"),29.0043833288201%, T314="","")</f>
        <v>0.29004383328820099</v>
      </c>
      <c r="AA314" s="272" cm="1">
        <f t="array" ref="AA314">_xlfn.IFS(AND(U314="y",$D314="Local"), 1, AND(U314="y",$D314&lt;&gt;"Local"),18.3998538156536%, U314="","")</f>
        <v>0.183998538156536</v>
      </c>
      <c r="AB314" s="68">
        <f t="shared" si="47"/>
        <v>1.0000000000000004</v>
      </c>
      <c r="AD314" s="306">
        <f t="shared" si="48"/>
        <v>3909.7669298645442</v>
      </c>
      <c r="AE314" s="242">
        <f t="shared" si="49"/>
        <v>54459.654791456131</v>
      </c>
      <c r="AF314" s="242">
        <f t="shared" si="50"/>
        <v>79633.123855370068</v>
      </c>
      <c r="AG314" s="242">
        <f t="shared" si="51"/>
        <v>76102.684226753001</v>
      </c>
      <c r="AH314" s="352">
        <f t="shared" si="52"/>
        <v>48278.160196556244</v>
      </c>
    </row>
    <row r="315" spans="2:34">
      <c r="B315" s="166" t="s">
        <v>443</v>
      </c>
      <c r="C315" s="150"/>
      <c r="D315" s="150" t="s">
        <v>116</v>
      </c>
      <c r="E315" s="150" t="s">
        <v>142</v>
      </c>
      <c r="F315" s="150" t="s">
        <v>866</v>
      </c>
      <c r="G315" s="146"/>
      <c r="H315" s="155"/>
      <c r="I315" s="135">
        <f t="shared" si="53"/>
        <v>0</v>
      </c>
      <c r="J315" s="147"/>
      <c r="K315" s="155">
        <v>561.94641055150498</v>
      </c>
      <c r="L315" s="88">
        <f t="shared" si="54"/>
        <v>411.33815548914168</v>
      </c>
      <c r="M315" s="160">
        <v>231150</v>
      </c>
      <c r="N315" s="167">
        <v>2016</v>
      </c>
      <c r="O315" s="167">
        <f>IFERROR(('General Input Sheet'!$G$38/(VLOOKUP(N315,'General Input Sheet'!$E$38:$G$44,3,FALSE))),1)</f>
        <v>1</v>
      </c>
      <c r="P315" s="189">
        <f t="shared" si="46"/>
        <v>231150</v>
      </c>
      <c r="Q315" s="89" t="str">
        <f t="shared" si="55"/>
        <v/>
      </c>
      <c r="R315" s="89" t="str">
        <f t="shared" si="55"/>
        <v/>
      </c>
      <c r="S315" s="89" t="str">
        <f t="shared" si="55"/>
        <v/>
      </c>
      <c r="T315" s="89" t="str">
        <f t="shared" si="55"/>
        <v>y</v>
      </c>
      <c r="U315" s="254" t="str">
        <f t="shared" si="55"/>
        <v/>
      </c>
      <c r="V315" s="308"/>
      <c r="W315" s="309" t="str" cm="1">
        <f t="array" ref="W315">_xlfn.IFS(AND(Q315="y",$D315="Local"), 1, AND(Q315="y",$D315&lt;&gt;"Local"),1.49009696454663%, Q315="","")</f>
        <v/>
      </c>
      <c r="X315" s="272" t="str" cm="1">
        <f t="array" ref="X315">_xlfn.IFS(AND(R315="y",$D315="Local"), 1, AND(R315="y",$D315&lt;&gt;"Local"),20.7557554582461%, R315="","")</f>
        <v/>
      </c>
      <c r="Y315" s="272" t="str" cm="1">
        <f t="array" ref="Y315">_xlfn.IFS(AND(S315="y",$D315="Local"), 1, AND(S315="y",$D315&lt;&gt;"Local"),30.3499104327336%, S315="","")</f>
        <v/>
      </c>
      <c r="Z315" s="272" cm="1">
        <f t="array" ref="Z315">_xlfn.IFS(AND(T315="y",$D315="Local"), 1, AND(T315="y",$D315&lt;&gt;"Local"),29.0043833288201%, T315="","")</f>
        <v>1</v>
      </c>
      <c r="AA315" s="272" t="str" cm="1">
        <f t="array" ref="AA315">_xlfn.IFS(AND(U315="y",$D315="Local"), 1, AND(U315="y",$D315&lt;&gt;"Local"),18.3998538156536%, U315="","")</f>
        <v/>
      </c>
      <c r="AB315" s="68">
        <f t="shared" si="47"/>
        <v>1</v>
      </c>
      <c r="AD315" s="306" t="str">
        <f t="shared" si="48"/>
        <v/>
      </c>
      <c r="AE315" s="242" t="str">
        <f t="shared" si="49"/>
        <v/>
      </c>
      <c r="AF315" s="242" t="str">
        <f t="shared" si="50"/>
        <v/>
      </c>
      <c r="AG315" s="242">
        <f t="shared" si="51"/>
        <v>231150</v>
      </c>
      <c r="AH315" s="352" t="str">
        <f t="shared" si="52"/>
        <v/>
      </c>
    </row>
    <row r="316" spans="2:34">
      <c r="B316" s="166" t="s">
        <v>444</v>
      </c>
      <c r="C316" s="150"/>
      <c r="D316" s="150" t="s">
        <v>116</v>
      </c>
      <c r="E316" s="150" t="s">
        <v>142</v>
      </c>
      <c r="F316" s="150" t="s">
        <v>867</v>
      </c>
      <c r="G316" s="146"/>
      <c r="H316" s="155"/>
      <c r="I316" s="135">
        <f t="shared" si="53"/>
        <v>0</v>
      </c>
      <c r="J316" s="147"/>
      <c r="K316" s="155">
        <v>685.27560898770298</v>
      </c>
      <c r="L316" s="88">
        <f t="shared" si="54"/>
        <v>337.30953935666474</v>
      </c>
      <c r="M316" s="160">
        <v>231150</v>
      </c>
      <c r="N316" s="167">
        <v>2016</v>
      </c>
      <c r="O316" s="167">
        <f>IFERROR(('General Input Sheet'!$G$38/(VLOOKUP(N316,'General Input Sheet'!$E$38:$G$44,3,FALSE))),1)</f>
        <v>1</v>
      </c>
      <c r="P316" s="189">
        <f t="shared" si="46"/>
        <v>231150</v>
      </c>
      <c r="Q316" s="89" t="str">
        <f t="shared" si="55"/>
        <v/>
      </c>
      <c r="R316" s="89" t="str">
        <f t="shared" si="55"/>
        <v/>
      </c>
      <c r="S316" s="89" t="str">
        <f t="shared" si="55"/>
        <v/>
      </c>
      <c r="T316" s="89" t="str">
        <f t="shared" si="55"/>
        <v>y</v>
      </c>
      <c r="U316" s="254" t="str">
        <f t="shared" si="55"/>
        <v/>
      </c>
      <c r="V316" s="308"/>
      <c r="W316" s="309" t="str" cm="1">
        <f t="array" ref="W316">_xlfn.IFS(AND(Q316="y",$D316="Local"), 1, AND(Q316="y",$D316&lt;&gt;"Local"),1.49009696454663%, Q316="","")</f>
        <v/>
      </c>
      <c r="X316" s="272" t="str" cm="1">
        <f t="array" ref="X316">_xlfn.IFS(AND(R316="y",$D316="Local"), 1, AND(R316="y",$D316&lt;&gt;"Local"),20.7557554582461%, R316="","")</f>
        <v/>
      </c>
      <c r="Y316" s="272" t="str" cm="1">
        <f t="array" ref="Y316">_xlfn.IFS(AND(S316="y",$D316="Local"), 1, AND(S316="y",$D316&lt;&gt;"Local"),30.3499104327336%, S316="","")</f>
        <v/>
      </c>
      <c r="Z316" s="272" cm="1">
        <f t="array" ref="Z316">_xlfn.IFS(AND(T316="y",$D316="Local"), 1, AND(T316="y",$D316&lt;&gt;"Local"),29.0043833288201%, T316="","")</f>
        <v>1</v>
      </c>
      <c r="AA316" s="272" t="str" cm="1">
        <f t="array" ref="AA316">_xlfn.IFS(AND(U316="y",$D316="Local"), 1, AND(U316="y",$D316&lt;&gt;"Local"),18.3998538156536%, U316="","")</f>
        <v/>
      </c>
      <c r="AB316" s="68">
        <f t="shared" si="47"/>
        <v>1</v>
      </c>
      <c r="AD316" s="306" t="str">
        <f t="shared" si="48"/>
        <v/>
      </c>
      <c r="AE316" s="242" t="str">
        <f t="shared" si="49"/>
        <v/>
      </c>
      <c r="AF316" s="242" t="str">
        <f t="shared" si="50"/>
        <v/>
      </c>
      <c r="AG316" s="242">
        <f t="shared" si="51"/>
        <v>231150</v>
      </c>
      <c r="AH316" s="352" t="str">
        <f t="shared" si="52"/>
        <v/>
      </c>
    </row>
    <row r="317" spans="2:34">
      <c r="B317" s="166" t="s">
        <v>445</v>
      </c>
      <c r="C317" s="150"/>
      <c r="D317" s="150" t="s">
        <v>116</v>
      </c>
      <c r="E317" s="150" t="s">
        <v>140</v>
      </c>
      <c r="F317" s="150" t="s">
        <v>868</v>
      </c>
      <c r="G317" s="146"/>
      <c r="H317" s="155"/>
      <c r="I317" s="135">
        <f t="shared" si="53"/>
        <v>0</v>
      </c>
      <c r="J317" s="147"/>
      <c r="K317" s="155">
        <v>6090.4242901908001</v>
      </c>
      <c r="L317" s="88">
        <f t="shared" si="54"/>
        <v>104.43800131042647</v>
      </c>
      <c r="M317" s="160">
        <v>636071.74</v>
      </c>
      <c r="N317" s="167">
        <v>2016</v>
      </c>
      <c r="O317" s="167">
        <f>IFERROR(('General Input Sheet'!$G$38/(VLOOKUP(N317,'General Input Sheet'!$E$38:$G$44,3,FALSE))),1)</f>
        <v>1</v>
      </c>
      <c r="P317" s="189">
        <f t="shared" si="46"/>
        <v>636071.74</v>
      </c>
      <c r="Q317" s="89" t="str">
        <f t="shared" si="55"/>
        <v/>
      </c>
      <c r="R317" s="89" t="str">
        <f t="shared" si="55"/>
        <v>y</v>
      </c>
      <c r="S317" s="89" t="str">
        <f t="shared" si="55"/>
        <v/>
      </c>
      <c r="T317" s="89" t="str">
        <f t="shared" si="55"/>
        <v/>
      </c>
      <c r="U317" s="254" t="str">
        <f t="shared" si="55"/>
        <v/>
      </c>
      <c r="V317" s="308"/>
      <c r="W317" s="309" t="str" cm="1">
        <f t="array" ref="W317">_xlfn.IFS(AND(Q317="y",$D317="Local"), 1, AND(Q317="y",$D317&lt;&gt;"Local"),1.49009696454663%, Q317="","")</f>
        <v/>
      </c>
      <c r="X317" s="272" cm="1">
        <f t="array" ref="X317">_xlfn.IFS(AND(R317="y",$D317="Local"), 1, AND(R317="y",$D317&lt;&gt;"Local"),20.7557554582461%, R317="","")</f>
        <v>1</v>
      </c>
      <c r="Y317" s="272" t="str" cm="1">
        <f t="array" ref="Y317">_xlfn.IFS(AND(S317="y",$D317="Local"), 1, AND(S317="y",$D317&lt;&gt;"Local"),30.3499104327336%, S317="","")</f>
        <v/>
      </c>
      <c r="Z317" s="272" t="str" cm="1">
        <f t="array" ref="Z317">_xlfn.IFS(AND(T317="y",$D317="Local"), 1, AND(T317="y",$D317&lt;&gt;"Local"),29.0043833288201%, T317="","")</f>
        <v/>
      </c>
      <c r="AA317" s="272" t="str" cm="1">
        <f t="array" ref="AA317">_xlfn.IFS(AND(U317="y",$D317="Local"), 1, AND(U317="y",$D317&lt;&gt;"Local"),18.3998538156536%, U317="","")</f>
        <v/>
      </c>
      <c r="AB317" s="68">
        <f t="shared" si="47"/>
        <v>1</v>
      </c>
      <c r="AD317" s="306" t="str">
        <f t="shared" si="48"/>
        <v/>
      </c>
      <c r="AE317" s="242">
        <f t="shared" si="49"/>
        <v>636071.74</v>
      </c>
      <c r="AF317" s="242" t="str">
        <f t="shared" si="50"/>
        <v/>
      </c>
      <c r="AG317" s="242" t="str">
        <f t="shared" si="51"/>
        <v/>
      </c>
      <c r="AH317" s="352" t="str">
        <f t="shared" si="52"/>
        <v/>
      </c>
    </row>
    <row r="318" spans="2:34">
      <c r="B318" s="166" t="s">
        <v>446</v>
      </c>
      <c r="C318" s="150"/>
      <c r="D318" s="150" t="s">
        <v>116</v>
      </c>
      <c r="E318" s="150" t="s">
        <v>142</v>
      </c>
      <c r="F318" s="150" t="s">
        <v>869</v>
      </c>
      <c r="G318" s="146"/>
      <c r="H318" s="155"/>
      <c r="I318" s="135">
        <f t="shared" si="53"/>
        <v>0</v>
      </c>
      <c r="J318" s="147"/>
      <c r="K318" s="155">
        <v>1681.0344253630701</v>
      </c>
      <c r="L318" s="88">
        <f t="shared" si="54"/>
        <v>14.374565824124051</v>
      </c>
      <c r="M318" s="160">
        <v>24164.14</v>
      </c>
      <c r="N318" s="167">
        <v>2016</v>
      </c>
      <c r="O318" s="167">
        <f>IFERROR(('General Input Sheet'!$G$38/(VLOOKUP(N318,'General Input Sheet'!$E$38:$G$44,3,FALSE))),1)</f>
        <v>1</v>
      </c>
      <c r="P318" s="189">
        <f t="shared" si="46"/>
        <v>24164.14</v>
      </c>
      <c r="Q318" s="89" t="str">
        <f t="shared" si="55"/>
        <v/>
      </c>
      <c r="R318" s="89" t="str">
        <f t="shared" si="55"/>
        <v/>
      </c>
      <c r="S318" s="89" t="str">
        <f t="shared" si="55"/>
        <v/>
      </c>
      <c r="T318" s="89" t="str">
        <f t="shared" si="55"/>
        <v>y</v>
      </c>
      <c r="U318" s="254" t="str">
        <f t="shared" si="55"/>
        <v/>
      </c>
      <c r="V318" s="308"/>
      <c r="W318" s="309" t="str" cm="1">
        <f t="array" ref="W318">_xlfn.IFS(AND(Q318="y",$D318="Local"), 1, AND(Q318="y",$D318&lt;&gt;"Local"),1.49009696454663%, Q318="","")</f>
        <v/>
      </c>
      <c r="X318" s="272" t="str" cm="1">
        <f t="array" ref="X318">_xlfn.IFS(AND(R318="y",$D318="Local"), 1, AND(R318="y",$D318&lt;&gt;"Local"),20.7557554582461%, R318="","")</f>
        <v/>
      </c>
      <c r="Y318" s="272" t="str" cm="1">
        <f t="array" ref="Y318">_xlfn.IFS(AND(S318="y",$D318="Local"), 1, AND(S318="y",$D318&lt;&gt;"Local"),30.3499104327336%, S318="","")</f>
        <v/>
      </c>
      <c r="Z318" s="272" cm="1">
        <f t="array" ref="Z318">_xlfn.IFS(AND(T318="y",$D318="Local"), 1, AND(T318="y",$D318&lt;&gt;"Local"),29.0043833288201%, T318="","")</f>
        <v>1</v>
      </c>
      <c r="AA318" s="272" t="str" cm="1">
        <f t="array" ref="AA318">_xlfn.IFS(AND(U318="y",$D318="Local"), 1, AND(U318="y",$D318&lt;&gt;"Local"),18.3998538156536%, U318="","")</f>
        <v/>
      </c>
      <c r="AB318" s="68">
        <f t="shared" si="47"/>
        <v>1</v>
      </c>
      <c r="AD318" s="306" t="str">
        <f t="shared" si="48"/>
        <v/>
      </c>
      <c r="AE318" s="242" t="str">
        <f t="shared" si="49"/>
        <v/>
      </c>
      <c r="AF318" s="242" t="str">
        <f t="shared" si="50"/>
        <v/>
      </c>
      <c r="AG318" s="242">
        <f t="shared" si="51"/>
        <v>24164.14</v>
      </c>
      <c r="AH318" s="352" t="str">
        <f t="shared" si="52"/>
        <v/>
      </c>
    </row>
    <row r="319" spans="2:34">
      <c r="B319" s="166" t="s">
        <v>447</v>
      </c>
      <c r="C319" s="150"/>
      <c r="D319" s="150" t="s">
        <v>117</v>
      </c>
      <c r="E319" s="150" t="s">
        <v>141</v>
      </c>
      <c r="F319" s="150" t="s">
        <v>870</v>
      </c>
      <c r="G319" s="146"/>
      <c r="H319" s="155"/>
      <c r="I319" s="135">
        <f t="shared" si="53"/>
        <v>0</v>
      </c>
      <c r="J319" s="147"/>
      <c r="K319" s="155">
        <v>1661.6441174879701</v>
      </c>
      <c r="L319" s="88">
        <f t="shared" si="54"/>
        <v>602.80903681967368</v>
      </c>
      <c r="M319" s="160">
        <v>1001654.09</v>
      </c>
      <c r="N319" s="167">
        <v>2016</v>
      </c>
      <c r="O319" s="167">
        <f>IFERROR(('General Input Sheet'!$G$38/(VLOOKUP(N319,'General Input Sheet'!$E$38:$G$44,3,FALSE))),1)</f>
        <v>1</v>
      </c>
      <c r="P319" s="189">
        <f t="shared" si="46"/>
        <v>1001654.09</v>
      </c>
      <c r="Q319" s="89" t="str">
        <f t="shared" si="55"/>
        <v>y</v>
      </c>
      <c r="R319" s="89" t="str">
        <f t="shared" si="55"/>
        <v>y</v>
      </c>
      <c r="S319" s="89" t="str">
        <f t="shared" si="55"/>
        <v>y</v>
      </c>
      <c r="T319" s="89" t="str">
        <f t="shared" si="55"/>
        <v>y</v>
      </c>
      <c r="U319" s="254" t="str">
        <f t="shared" si="55"/>
        <v>y</v>
      </c>
      <c r="V319" s="308"/>
      <c r="W319" s="309" cm="1">
        <f t="array" ref="W319">_xlfn.IFS(AND(Q319="y",$D319="Local"), 1, AND(Q319="y",$D319&lt;&gt;"Local"),1.49009696454663%, Q319="","")</f>
        <v>1.49009696454663E-2</v>
      </c>
      <c r="X319" s="272" cm="1">
        <f t="array" ref="X319">_xlfn.IFS(AND(R319="y",$D319="Local"), 1, AND(R319="y",$D319&lt;&gt;"Local"),20.7557554582461%, R319="","")</f>
        <v>0.207557554582461</v>
      </c>
      <c r="Y319" s="272" cm="1">
        <f t="array" ref="Y319">_xlfn.IFS(AND(S319="y",$D319="Local"), 1, AND(S319="y",$D319&lt;&gt;"Local"),30.3499104327336%, S319="","")</f>
        <v>0.30349910432733601</v>
      </c>
      <c r="Z319" s="272" cm="1">
        <f t="array" ref="Z319">_xlfn.IFS(AND(T319="y",$D319="Local"), 1, AND(T319="y",$D319&lt;&gt;"Local"),29.0043833288201%, T319="","")</f>
        <v>0.29004383328820099</v>
      </c>
      <c r="AA319" s="272" cm="1">
        <f t="array" ref="AA319">_xlfn.IFS(AND(U319="y",$D319="Local"), 1, AND(U319="y",$D319&lt;&gt;"Local"),18.3998538156536%, U319="","")</f>
        <v>0.183998538156536</v>
      </c>
      <c r="AB319" s="68">
        <f t="shared" si="47"/>
        <v>1.0000000000000004</v>
      </c>
      <c r="AD319" s="306">
        <f t="shared" si="48"/>
        <v>14925.617190347162</v>
      </c>
      <c r="AE319" s="242">
        <f t="shared" si="49"/>
        <v>207900.87345792021</v>
      </c>
      <c r="AF319" s="242">
        <f t="shared" si="50"/>
        <v>304001.1191608127</v>
      </c>
      <c r="AG319" s="242">
        <f t="shared" si="51"/>
        <v>290523.59189240454</v>
      </c>
      <c r="AH319" s="352">
        <f t="shared" si="52"/>
        <v>184302.88829851526</v>
      </c>
    </row>
    <row r="320" spans="2:34">
      <c r="B320" s="166" t="s">
        <v>448</v>
      </c>
      <c r="C320" s="150"/>
      <c r="D320" s="150" t="s">
        <v>117</v>
      </c>
      <c r="E320" s="150" t="s">
        <v>140</v>
      </c>
      <c r="F320" s="150" t="s">
        <v>871</v>
      </c>
      <c r="G320" s="146"/>
      <c r="H320" s="155"/>
      <c r="I320" s="135">
        <f t="shared" si="53"/>
        <v>0</v>
      </c>
      <c r="J320" s="147"/>
      <c r="K320" s="155">
        <v>2289.6074888327498</v>
      </c>
      <c r="L320" s="88">
        <f t="shared" si="54"/>
        <v>216.89799339937267</v>
      </c>
      <c r="M320" s="160">
        <v>496611.27</v>
      </c>
      <c r="N320" s="167">
        <v>2016</v>
      </c>
      <c r="O320" s="167">
        <f>IFERROR(('General Input Sheet'!$G$38/(VLOOKUP(N320,'General Input Sheet'!$E$38:$G$44,3,FALSE))),1)</f>
        <v>1</v>
      </c>
      <c r="P320" s="189">
        <f t="shared" si="46"/>
        <v>496611.27</v>
      </c>
      <c r="Q320" s="89" t="str">
        <f t="shared" si="55"/>
        <v>y</v>
      </c>
      <c r="R320" s="89" t="str">
        <f t="shared" si="55"/>
        <v>y</v>
      </c>
      <c r="S320" s="89" t="str">
        <f t="shared" si="55"/>
        <v>y</v>
      </c>
      <c r="T320" s="89" t="str">
        <f t="shared" si="55"/>
        <v>y</v>
      </c>
      <c r="U320" s="254" t="str">
        <f t="shared" si="55"/>
        <v>y</v>
      </c>
      <c r="V320" s="308"/>
      <c r="W320" s="309" cm="1">
        <f t="array" ref="W320">_xlfn.IFS(AND(Q320="y",$D320="Local"), 1, AND(Q320="y",$D320&lt;&gt;"Local"),1.49009696454663%, Q320="","")</f>
        <v>1.49009696454663E-2</v>
      </c>
      <c r="X320" s="272" cm="1">
        <f t="array" ref="X320">_xlfn.IFS(AND(R320="y",$D320="Local"), 1, AND(R320="y",$D320&lt;&gt;"Local"),20.7557554582461%, R320="","")</f>
        <v>0.207557554582461</v>
      </c>
      <c r="Y320" s="272" cm="1">
        <f t="array" ref="Y320">_xlfn.IFS(AND(S320="y",$D320="Local"), 1, AND(S320="y",$D320&lt;&gt;"Local"),30.3499104327336%, S320="","")</f>
        <v>0.30349910432733601</v>
      </c>
      <c r="Z320" s="272" cm="1">
        <f t="array" ref="Z320">_xlfn.IFS(AND(T320="y",$D320="Local"), 1, AND(T320="y",$D320&lt;&gt;"Local"),29.0043833288201%, T320="","")</f>
        <v>0.29004383328820099</v>
      </c>
      <c r="AA320" s="272" cm="1">
        <f t="array" ref="AA320">_xlfn.IFS(AND(U320="y",$D320="Local"), 1, AND(U320="y",$D320&lt;&gt;"Local"),18.3998538156536%, U320="","")</f>
        <v>0.183998538156536</v>
      </c>
      <c r="AB320" s="68">
        <f t="shared" si="47"/>
        <v>1.0000000000000004</v>
      </c>
      <c r="AD320" s="306">
        <f t="shared" si="48"/>
        <v>7399.9894598664659</v>
      </c>
      <c r="AE320" s="242">
        <f t="shared" si="49"/>
        <v>103075.42077929025</v>
      </c>
      <c r="AF320" s="242">
        <f t="shared" si="50"/>
        <v>150721.07564386079</v>
      </c>
      <c r="AG320" s="242">
        <f t="shared" si="51"/>
        <v>144039.03640492173</v>
      </c>
      <c r="AH320" s="352">
        <f t="shared" si="52"/>
        <v>91375.747712060765</v>
      </c>
    </row>
    <row r="321" spans="2:34">
      <c r="B321" s="166" t="s">
        <v>449</v>
      </c>
      <c r="C321" s="150"/>
      <c r="D321" s="150" t="s">
        <v>118</v>
      </c>
      <c r="E321" s="150" t="s">
        <v>143</v>
      </c>
      <c r="F321" s="150" t="s">
        <v>872</v>
      </c>
      <c r="G321" s="146"/>
      <c r="H321" s="155"/>
      <c r="I321" s="135">
        <f t="shared" si="53"/>
        <v>0</v>
      </c>
      <c r="J321" s="147"/>
      <c r="K321" s="155">
        <v>8675.7796278472397</v>
      </c>
      <c r="L321" s="88">
        <f t="shared" si="54"/>
        <v>70.744435235533501</v>
      </c>
      <c r="M321" s="160">
        <v>613763.13</v>
      </c>
      <c r="N321" s="167">
        <v>2016</v>
      </c>
      <c r="O321" s="167">
        <f>IFERROR(('General Input Sheet'!$G$38/(VLOOKUP(N321,'General Input Sheet'!$E$38:$G$44,3,FALSE))),1)</f>
        <v>1</v>
      </c>
      <c r="P321" s="189">
        <f t="shared" si="46"/>
        <v>613763.13</v>
      </c>
      <c r="Q321" s="89" t="str">
        <f t="shared" si="55"/>
        <v>y</v>
      </c>
      <c r="R321" s="89" t="str">
        <f t="shared" si="55"/>
        <v>y</v>
      </c>
      <c r="S321" s="89" t="str">
        <f t="shared" si="55"/>
        <v>y</v>
      </c>
      <c r="T321" s="89" t="str">
        <f t="shared" si="55"/>
        <v>y</v>
      </c>
      <c r="U321" s="254" t="str">
        <f t="shared" si="55"/>
        <v>y</v>
      </c>
      <c r="V321" s="308"/>
      <c r="W321" s="309" cm="1">
        <f t="array" ref="W321">_xlfn.IFS(AND(Q321="y",$D321="Local"), 1, AND(Q321="y",$D321&lt;&gt;"Local"),1.49009696454663%, Q321="","")</f>
        <v>1.49009696454663E-2</v>
      </c>
      <c r="X321" s="272" cm="1">
        <f t="array" ref="X321">_xlfn.IFS(AND(R321="y",$D321="Local"), 1, AND(R321="y",$D321&lt;&gt;"Local"),20.7557554582461%, R321="","")</f>
        <v>0.207557554582461</v>
      </c>
      <c r="Y321" s="272" cm="1">
        <f t="array" ref="Y321">_xlfn.IFS(AND(S321="y",$D321="Local"), 1, AND(S321="y",$D321&lt;&gt;"Local"),30.3499104327336%, S321="","")</f>
        <v>0.30349910432733601</v>
      </c>
      <c r="Z321" s="272" cm="1">
        <f t="array" ref="Z321">_xlfn.IFS(AND(T321="y",$D321="Local"), 1, AND(T321="y",$D321&lt;&gt;"Local"),29.0043833288201%, T321="","")</f>
        <v>0.29004383328820099</v>
      </c>
      <c r="AA321" s="272" cm="1">
        <f t="array" ref="AA321">_xlfn.IFS(AND(U321="y",$D321="Local"), 1, AND(U321="y",$D321&lt;&gt;"Local"),18.3998538156536%, U321="","")</f>
        <v>0.183998538156536</v>
      </c>
      <c r="AB321" s="68">
        <f t="shared" si="47"/>
        <v>1.0000000000000004</v>
      </c>
      <c r="AD321" s="306">
        <f t="shared" si="48"/>
        <v>9145.6657696363818</v>
      </c>
      <c r="AE321" s="242">
        <f t="shared" si="49"/>
        <v>127391.17435567705</v>
      </c>
      <c r="AF321" s="242">
        <f t="shared" si="50"/>
        <v>186276.56022414222</v>
      </c>
      <c r="AG321" s="242">
        <f t="shared" si="51"/>
        <v>178018.21095616437</v>
      </c>
      <c r="AH321" s="352">
        <f t="shared" si="52"/>
        <v>112931.51869437991</v>
      </c>
    </row>
    <row r="322" spans="2:34">
      <c r="B322" s="166" t="s">
        <v>450</v>
      </c>
      <c r="C322" s="150"/>
      <c r="D322" s="150" t="s">
        <v>117</v>
      </c>
      <c r="E322" s="150" t="s">
        <v>143</v>
      </c>
      <c r="F322" s="150" t="s">
        <v>873</v>
      </c>
      <c r="G322" s="146"/>
      <c r="H322" s="155"/>
      <c r="I322" s="135">
        <f t="shared" si="53"/>
        <v>0</v>
      </c>
      <c r="J322" s="147"/>
      <c r="K322" s="155">
        <v>2520.9273202273098</v>
      </c>
      <c r="L322" s="88">
        <f t="shared" si="54"/>
        <v>20.432699343095479</v>
      </c>
      <c r="M322" s="160">
        <v>51509.35</v>
      </c>
      <c r="N322" s="167">
        <v>2016</v>
      </c>
      <c r="O322" s="167">
        <f>IFERROR(('General Input Sheet'!$G$38/(VLOOKUP(N322,'General Input Sheet'!$E$38:$G$44,3,FALSE))),1)</f>
        <v>1</v>
      </c>
      <c r="P322" s="189">
        <f t="shared" si="46"/>
        <v>51509.35</v>
      </c>
      <c r="Q322" s="89" t="str">
        <f t="shared" si="55"/>
        <v>y</v>
      </c>
      <c r="R322" s="89" t="str">
        <f t="shared" si="55"/>
        <v>y</v>
      </c>
      <c r="S322" s="89" t="str">
        <f t="shared" si="55"/>
        <v>y</v>
      </c>
      <c r="T322" s="89" t="str">
        <f t="shared" si="55"/>
        <v>y</v>
      </c>
      <c r="U322" s="254" t="str">
        <f t="shared" si="55"/>
        <v>y</v>
      </c>
      <c r="V322" s="308"/>
      <c r="W322" s="309" cm="1">
        <f t="array" ref="W322">_xlfn.IFS(AND(Q322="y",$D322="Local"), 1, AND(Q322="y",$D322&lt;&gt;"Local"),1.49009696454663%, Q322="","")</f>
        <v>1.49009696454663E-2</v>
      </c>
      <c r="X322" s="272" cm="1">
        <f t="array" ref="X322">_xlfn.IFS(AND(R322="y",$D322="Local"), 1, AND(R322="y",$D322&lt;&gt;"Local"),20.7557554582461%, R322="","")</f>
        <v>0.207557554582461</v>
      </c>
      <c r="Y322" s="272" cm="1">
        <f t="array" ref="Y322">_xlfn.IFS(AND(S322="y",$D322="Local"), 1, AND(S322="y",$D322&lt;&gt;"Local"),30.3499104327336%, S322="","")</f>
        <v>0.30349910432733601</v>
      </c>
      <c r="Z322" s="272" cm="1">
        <f t="array" ref="Z322">_xlfn.IFS(AND(T322="y",$D322="Local"), 1, AND(T322="y",$D322&lt;&gt;"Local"),29.0043833288201%, T322="","")</f>
        <v>0.29004383328820099</v>
      </c>
      <c r="AA322" s="272" cm="1">
        <f t="array" ref="AA322">_xlfn.IFS(AND(U322="y",$D322="Local"), 1, AND(U322="y",$D322&lt;&gt;"Local"),18.3998538156536%, U322="","")</f>
        <v>0.183998538156536</v>
      </c>
      <c r="AB322" s="68">
        <f t="shared" si="47"/>
        <v>1.0000000000000004</v>
      </c>
      <c r="AD322" s="306">
        <f t="shared" si="48"/>
        <v>767.53926080769918</v>
      </c>
      <c r="AE322" s="242">
        <f t="shared" si="49"/>
        <v>10691.154724132082</v>
      </c>
      <c r="AF322" s="242">
        <f t="shared" si="50"/>
        <v>15633.041589483259</v>
      </c>
      <c r="AG322" s="242">
        <f t="shared" si="51"/>
        <v>14939.96932418359</v>
      </c>
      <c r="AH322" s="352">
        <f t="shared" si="52"/>
        <v>9477.645101393362</v>
      </c>
    </row>
    <row r="323" spans="2:34">
      <c r="B323" s="166" t="s">
        <v>451</v>
      </c>
      <c r="C323" s="150"/>
      <c r="D323" s="150" t="s">
        <v>116</v>
      </c>
      <c r="E323" s="150" t="s">
        <v>141</v>
      </c>
      <c r="F323" s="150" t="s">
        <v>874</v>
      </c>
      <c r="G323" s="146">
        <v>56000</v>
      </c>
      <c r="H323" s="155">
        <v>405</v>
      </c>
      <c r="I323" s="135">
        <f t="shared" si="53"/>
        <v>45</v>
      </c>
      <c r="J323" s="147">
        <v>74225</v>
      </c>
      <c r="K323" s="155">
        <v>333.57782786609499</v>
      </c>
      <c r="L323" s="88">
        <f t="shared" si="54"/>
        <v>550.38058486818477</v>
      </c>
      <c r="M323" s="160">
        <v>183594.76</v>
      </c>
      <c r="N323" s="167">
        <v>2016</v>
      </c>
      <c r="O323" s="167">
        <f>IFERROR(('General Input Sheet'!$G$38/(VLOOKUP(N323,'General Input Sheet'!$E$38:$G$44,3,FALSE))),1)</f>
        <v>1</v>
      </c>
      <c r="P323" s="189">
        <f t="shared" si="46"/>
        <v>257819.76</v>
      </c>
      <c r="Q323" s="89" t="str">
        <f t="shared" si="55"/>
        <v/>
      </c>
      <c r="R323" s="89" t="str">
        <f t="shared" si="55"/>
        <v/>
      </c>
      <c r="S323" s="89" t="str">
        <f t="shared" si="55"/>
        <v>y</v>
      </c>
      <c r="T323" s="89" t="str">
        <f t="shared" si="55"/>
        <v/>
      </c>
      <c r="U323" s="254" t="str">
        <f t="shared" si="55"/>
        <v/>
      </c>
      <c r="V323" s="308"/>
      <c r="W323" s="309" t="str" cm="1">
        <f t="array" ref="W323">_xlfn.IFS(AND(Q323="y",$D323="Local"), 1, AND(Q323="y",$D323&lt;&gt;"Local"),1.49009696454663%, Q323="","")</f>
        <v/>
      </c>
      <c r="X323" s="272" t="str" cm="1">
        <f t="array" ref="X323">_xlfn.IFS(AND(R323="y",$D323="Local"), 1, AND(R323="y",$D323&lt;&gt;"Local"),20.7557554582461%, R323="","")</f>
        <v/>
      </c>
      <c r="Y323" s="272" cm="1">
        <f t="array" ref="Y323">_xlfn.IFS(AND(S323="y",$D323="Local"), 1, AND(S323="y",$D323&lt;&gt;"Local"),30.3499104327336%, S323="","")</f>
        <v>1</v>
      </c>
      <c r="Z323" s="272" t="str" cm="1">
        <f t="array" ref="Z323">_xlfn.IFS(AND(T323="y",$D323="Local"), 1, AND(T323="y",$D323&lt;&gt;"Local"),29.0043833288201%, T323="","")</f>
        <v/>
      </c>
      <c r="AA323" s="272" t="str" cm="1">
        <f t="array" ref="AA323">_xlfn.IFS(AND(U323="y",$D323="Local"), 1, AND(U323="y",$D323&lt;&gt;"Local"),18.3998538156536%, U323="","")</f>
        <v/>
      </c>
      <c r="AB323" s="68">
        <f t="shared" si="47"/>
        <v>1</v>
      </c>
      <c r="AD323" s="306" t="str">
        <f t="shared" si="48"/>
        <v/>
      </c>
      <c r="AE323" s="242" t="str">
        <f t="shared" si="49"/>
        <v/>
      </c>
      <c r="AF323" s="242">
        <f t="shared" si="50"/>
        <v>257819.76</v>
      </c>
      <c r="AG323" s="242" t="str">
        <f t="shared" si="51"/>
        <v/>
      </c>
      <c r="AH323" s="352" t="str">
        <f t="shared" si="52"/>
        <v/>
      </c>
    </row>
    <row r="324" spans="2:34">
      <c r="B324" s="166" t="s">
        <v>452</v>
      </c>
      <c r="C324" s="150"/>
      <c r="D324" s="150" t="s">
        <v>116</v>
      </c>
      <c r="E324" s="150" t="s">
        <v>141</v>
      </c>
      <c r="F324" s="150" t="s">
        <v>875</v>
      </c>
      <c r="G324" s="146"/>
      <c r="H324" s="155"/>
      <c r="I324" s="135">
        <f t="shared" si="53"/>
        <v>0</v>
      </c>
      <c r="J324" s="147"/>
      <c r="K324" s="155">
        <v>461.80857034191303</v>
      </c>
      <c r="L324" s="88">
        <f t="shared" si="54"/>
        <v>286.76574776849867</v>
      </c>
      <c r="M324" s="160">
        <v>132430.88</v>
      </c>
      <c r="N324" s="167">
        <v>2016</v>
      </c>
      <c r="O324" s="167">
        <f>IFERROR(('General Input Sheet'!$G$38/(VLOOKUP(N324,'General Input Sheet'!$E$38:$G$44,3,FALSE))),1)</f>
        <v>1</v>
      </c>
      <c r="P324" s="189">
        <f t="shared" si="46"/>
        <v>132430.88</v>
      </c>
      <c r="Q324" s="89" t="str">
        <f t="shared" si="55"/>
        <v/>
      </c>
      <c r="R324" s="89" t="str">
        <f t="shared" si="55"/>
        <v/>
      </c>
      <c r="S324" s="89" t="str">
        <f t="shared" si="55"/>
        <v>y</v>
      </c>
      <c r="T324" s="89" t="str">
        <f t="shared" si="55"/>
        <v/>
      </c>
      <c r="U324" s="254" t="str">
        <f t="shared" si="55"/>
        <v/>
      </c>
      <c r="V324" s="308"/>
      <c r="W324" s="309" t="str" cm="1">
        <f t="array" ref="W324">_xlfn.IFS(AND(Q324="y",$D324="Local"), 1, AND(Q324="y",$D324&lt;&gt;"Local"),1.49009696454663%, Q324="","")</f>
        <v/>
      </c>
      <c r="X324" s="272" t="str" cm="1">
        <f t="array" ref="X324">_xlfn.IFS(AND(R324="y",$D324="Local"), 1, AND(R324="y",$D324&lt;&gt;"Local"),20.7557554582461%, R324="","")</f>
        <v/>
      </c>
      <c r="Y324" s="272" cm="1">
        <f t="array" ref="Y324">_xlfn.IFS(AND(S324="y",$D324="Local"), 1, AND(S324="y",$D324&lt;&gt;"Local"),30.3499104327336%, S324="","")</f>
        <v>1</v>
      </c>
      <c r="Z324" s="272" t="str" cm="1">
        <f t="array" ref="Z324">_xlfn.IFS(AND(T324="y",$D324="Local"), 1, AND(T324="y",$D324&lt;&gt;"Local"),29.0043833288201%, T324="","")</f>
        <v/>
      </c>
      <c r="AA324" s="272" t="str" cm="1">
        <f t="array" ref="AA324">_xlfn.IFS(AND(U324="y",$D324="Local"), 1, AND(U324="y",$D324&lt;&gt;"Local"),18.3998538156536%, U324="","")</f>
        <v/>
      </c>
      <c r="AB324" s="68">
        <f t="shared" si="47"/>
        <v>1</v>
      </c>
      <c r="AD324" s="306" t="str">
        <f t="shared" si="48"/>
        <v/>
      </c>
      <c r="AE324" s="242" t="str">
        <f t="shared" si="49"/>
        <v/>
      </c>
      <c r="AF324" s="242">
        <f t="shared" si="50"/>
        <v>132430.88</v>
      </c>
      <c r="AG324" s="242" t="str">
        <f t="shared" si="51"/>
        <v/>
      </c>
      <c r="AH324" s="352" t="str">
        <f t="shared" si="52"/>
        <v/>
      </c>
    </row>
    <row r="325" spans="2:34">
      <c r="B325" s="166" t="s">
        <v>453</v>
      </c>
      <c r="C325" s="150"/>
      <c r="D325" s="150" t="s">
        <v>116</v>
      </c>
      <c r="E325" s="150" t="s">
        <v>141</v>
      </c>
      <c r="F325" s="150" t="s">
        <v>876</v>
      </c>
      <c r="G325" s="146"/>
      <c r="H325" s="155"/>
      <c r="I325" s="135">
        <f t="shared" si="53"/>
        <v>0</v>
      </c>
      <c r="J325" s="147"/>
      <c r="K325" s="155">
        <v>615.44398757610804</v>
      </c>
      <c r="L325" s="88">
        <f t="shared" si="54"/>
        <v>318.15730424336249</v>
      </c>
      <c r="M325" s="160">
        <v>195808</v>
      </c>
      <c r="N325" s="167">
        <v>2016</v>
      </c>
      <c r="O325" s="167">
        <f>IFERROR(('General Input Sheet'!$G$38/(VLOOKUP(N325,'General Input Sheet'!$E$38:$G$44,3,FALSE))),1)</f>
        <v>1</v>
      </c>
      <c r="P325" s="189">
        <f t="shared" si="46"/>
        <v>195808</v>
      </c>
      <c r="Q325" s="89" t="str">
        <f t="shared" si="55"/>
        <v/>
      </c>
      <c r="R325" s="89" t="str">
        <f t="shared" si="55"/>
        <v/>
      </c>
      <c r="S325" s="89" t="str">
        <f t="shared" si="55"/>
        <v>y</v>
      </c>
      <c r="T325" s="89" t="str">
        <f t="shared" si="55"/>
        <v/>
      </c>
      <c r="U325" s="254" t="str">
        <f t="shared" si="55"/>
        <v/>
      </c>
      <c r="V325" s="308"/>
      <c r="W325" s="309" t="str" cm="1">
        <f t="array" ref="W325">_xlfn.IFS(AND(Q325="y",$D325="Local"), 1, AND(Q325="y",$D325&lt;&gt;"Local"),1.49009696454663%, Q325="","")</f>
        <v/>
      </c>
      <c r="X325" s="272" t="str" cm="1">
        <f t="array" ref="X325">_xlfn.IFS(AND(R325="y",$D325="Local"), 1, AND(R325="y",$D325&lt;&gt;"Local"),20.7557554582461%, R325="","")</f>
        <v/>
      </c>
      <c r="Y325" s="272" cm="1">
        <f t="array" ref="Y325">_xlfn.IFS(AND(S325="y",$D325="Local"), 1, AND(S325="y",$D325&lt;&gt;"Local"),30.3499104327336%, S325="","")</f>
        <v>1</v>
      </c>
      <c r="Z325" s="272" t="str" cm="1">
        <f t="array" ref="Z325">_xlfn.IFS(AND(T325="y",$D325="Local"), 1, AND(T325="y",$D325&lt;&gt;"Local"),29.0043833288201%, T325="","")</f>
        <v/>
      </c>
      <c r="AA325" s="272" t="str" cm="1">
        <f t="array" ref="AA325">_xlfn.IFS(AND(U325="y",$D325="Local"), 1, AND(U325="y",$D325&lt;&gt;"Local"),18.3998538156536%, U325="","")</f>
        <v/>
      </c>
      <c r="AB325" s="68">
        <f t="shared" si="47"/>
        <v>1</v>
      </c>
      <c r="AD325" s="306" t="str">
        <f t="shared" si="48"/>
        <v/>
      </c>
      <c r="AE325" s="242" t="str">
        <f t="shared" si="49"/>
        <v/>
      </c>
      <c r="AF325" s="242">
        <f t="shared" si="50"/>
        <v>195808</v>
      </c>
      <c r="AG325" s="242" t="str">
        <f t="shared" si="51"/>
        <v/>
      </c>
      <c r="AH325" s="352" t="str">
        <f t="shared" si="52"/>
        <v/>
      </c>
    </row>
    <row r="326" spans="2:34">
      <c r="B326" s="166" t="s">
        <v>454</v>
      </c>
      <c r="C326" s="150"/>
      <c r="D326" s="150" t="s">
        <v>116</v>
      </c>
      <c r="E326" s="150" t="s">
        <v>142</v>
      </c>
      <c r="F326" s="150" t="s">
        <v>877</v>
      </c>
      <c r="G326" s="146"/>
      <c r="H326" s="155"/>
      <c r="I326" s="135">
        <f t="shared" si="53"/>
        <v>0</v>
      </c>
      <c r="J326" s="147"/>
      <c r="K326" s="155">
        <v>278.70289967627701</v>
      </c>
      <c r="L326" s="88">
        <f t="shared" si="54"/>
        <v>40.437325959258018</v>
      </c>
      <c r="M326" s="160">
        <v>11270</v>
      </c>
      <c r="N326" s="167">
        <v>2016</v>
      </c>
      <c r="O326" s="167">
        <f>IFERROR(('General Input Sheet'!$G$38/(VLOOKUP(N326,'General Input Sheet'!$E$38:$G$44,3,FALSE))),1)</f>
        <v>1</v>
      </c>
      <c r="P326" s="189">
        <f t="shared" si="46"/>
        <v>11270</v>
      </c>
      <c r="Q326" s="89" t="str">
        <f t="shared" si="55"/>
        <v/>
      </c>
      <c r="R326" s="89" t="str">
        <f t="shared" si="55"/>
        <v/>
      </c>
      <c r="S326" s="89" t="str">
        <f t="shared" si="55"/>
        <v/>
      </c>
      <c r="T326" s="89" t="str">
        <f t="shared" si="55"/>
        <v>y</v>
      </c>
      <c r="U326" s="254" t="str">
        <f t="shared" si="55"/>
        <v/>
      </c>
      <c r="V326" s="308"/>
      <c r="W326" s="309" t="str" cm="1">
        <f t="array" ref="W326">_xlfn.IFS(AND(Q326="y",$D326="Local"), 1, AND(Q326="y",$D326&lt;&gt;"Local"),1.49009696454663%, Q326="","")</f>
        <v/>
      </c>
      <c r="X326" s="272" t="str" cm="1">
        <f t="array" ref="X326">_xlfn.IFS(AND(R326="y",$D326="Local"), 1, AND(R326="y",$D326&lt;&gt;"Local"),20.7557554582461%, R326="","")</f>
        <v/>
      </c>
      <c r="Y326" s="272" t="str" cm="1">
        <f t="array" ref="Y326">_xlfn.IFS(AND(S326="y",$D326="Local"), 1, AND(S326="y",$D326&lt;&gt;"Local"),30.3499104327336%, S326="","")</f>
        <v/>
      </c>
      <c r="Z326" s="272" cm="1">
        <f t="array" ref="Z326">_xlfn.IFS(AND(T326="y",$D326="Local"), 1, AND(T326="y",$D326&lt;&gt;"Local"),29.0043833288201%, T326="","")</f>
        <v>1</v>
      </c>
      <c r="AA326" s="272" t="str" cm="1">
        <f t="array" ref="AA326">_xlfn.IFS(AND(U326="y",$D326="Local"), 1, AND(U326="y",$D326&lt;&gt;"Local"),18.3998538156536%, U326="","")</f>
        <v/>
      </c>
      <c r="AB326" s="68">
        <f t="shared" si="47"/>
        <v>1</v>
      </c>
      <c r="AD326" s="306" t="str">
        <f t="shared" si="48"/>
        <v/>
      </c>
      <c r="AE326" s="242" t="str">
        <f t="shared" si="49"/>
        <v/>
      </c>
      <c r="AF326" s="242" t="str">
        <f t="shared" si="50"/>
        <v/>
      </c>
      <c r="AG326" s="242">
        <f t="shared" si="51"/>
        <v>11270</v>
      </c>
      <c r="AH326" s="352" t="str">
        <f t="shared" si="52"/>
        <v/>
      </c>
    </row>
    <row r="327" spans="2:34">
      <c r="B327" s="166" t="s">
        <v>455</v>
      </c>
      <c r="C327" s="150"/>
      <c r="D327" s="150" t="s">
        <v>118</v>
      </c>
      <c r="E327" s="150" t="s">
        <v>141</v>
      </c>
      <c r="F327" s="150" t="s">
        <v>878</v>
      </c>
      <c r="G327" s="146"/>
      <c r="H327" s="155"/>
      <c r="I327" s="135">
        <f t="shared" si="53"/>
        <v>0</v>
      </c>
      <c r="J327" s="147"/>
      <c r="K327" s="155">
        <v>531.20964874834704</v>
      </c>
      <c r="L327" s="88">
        <f t="shared" si="54"/>
        <v>504.88793008926797</v>
      </c>
      <c r="M327" s="160">
        <v>268201.34000000003</v>
      </c>
      <c r="N327" s="167">
        <v>2016</v>
      </c>
      <c r="O327" s="167">
        <f>IFERROR(('General Input Sheet'!$G$38/(VLOOKUP(N327,'General Input Sheet'!$E$38:$G$44,3,FALSE))),1)</f>
        <v>1</v>
      </c>
      <c r="P327" s="189">
        <f t="shared" si="46"/>
        <v>268201.34000000003</v>
      </c>
      <c r="Q327" s="89" t="str">
        <f t="shared" si="55"/>
        <v>y</v>
      </c>
      <c r="R327" s="89" t="str">
        <f t="shared" si="55"/>
        <v>y</v>
      </c>
      <c r="S327" s="89" t="str">
        <f t="shared" si="55"/>
        <v>y</v>
      </c>
      <c r="T327" s="89" t="str">
        <f t="shared" si="55"/>
        <v>y</v>
      </c>
      <c r="U327" s="254" t="str">
        <f t="shared" si="55"/>
        <v>y</v>
      </c>
      <c r="V327" s="308"/>
      <c r="W327" s="309" cm="1">
        <f t="array" ref="W327">_xlfn.IFS(AND(Q327="y",$D327="Local"), 1, AND(Q327="y",$D327&lt;&gt;"Local"),1.49009696454663%, Q327="","")</f>
        <v>1.49009696454663E-2</v>
      </c>
      <c r="X327" s="272" cm="1">
        <f t="array" ref="X327">_xlfn.IFS(AND(R327="y",$D327="Local"), 1, AND(R327="y",$D327&lt;&gt;"Local"),20.7557554582461%, R327="","")</f>
        <v>0.207557554582461</v>
      </c>
      <c r="Y327" s="272" cm="1">
        <f t="array" ref="Y327">_xlfn.IFS(AND(S327="y",$D327="Local"), 1, AND(S327="y",$D327&lt;&gt;"Local"),30.3499104327336%, S327="","")</f>
        <v>0.30349910432733601</v>
      </c>
      <c r="Z327" s="272" cm="1">
        <f t="array" ref="Z327">_xlfn.IFS(AND(T327="y",$D327="Local"), 1, AND(T327="y",$D327&lt;&gt;"Local"),29.0043833288201%, T327="","")</f>
        <v>0.29004383328820099</v>
      </c>
      <c r="AA327" s="272" cm="1">
        <f t="array" ref="AA327">_xlfn.IFS(AND(U327="y",$D327="Local"), 1, AND(U327="y",$D327&lt;&gt;"Local"),18.3998538156536%, U327="","")</f>
        <v>0.183998538156536</v>
      </c>
      <c r="AB327" s="68">
        <f t="shared" si="47"/>
        <v>1.0000000000000004</v>
      </c>
      <c r="AD327" s="306">
        <f t="shared" si="48"/>
        <v>3996.4600262133854</v>
      </c>
      <c r="AE327" s="242">
        <f t="shared" si="49"/>
        <v>55667.214266139163</v>
      </c>
      <c r="AF327" s="242">
        <f t="shared" si="50"/>
        <v>81398.866469391302</v>
      </c>
      <c r="AG327" s="242">
        <f t="shared" si="51"/>
        <v>77790.144746632097</v>
      </c>
      <c r="AH327" s="352">
        <f t="shared" si="52"/>
        <v>49348.654491624067</v>
      </c>
    </row>
    <row r="328" spans="2:34">
      <c r="B328" s="166" t="s">
        <v>456</v>
      </c>
      <c r="C328" s="150"/>
      <c r="D328" s="150" t="s">
        <v>118</v>
      </c>
      <c r="E328" s="150" t="s">
        <v>141</v>
      </c>
      <c r="F328" s="150" t="s">
        <v>879</v>
      </c>
      <c r="G328" s="146"/>
      <c r="H328" s="155"/>
      <c r="I328" s="135">
        <f t="shared" si="53"/>
        <v>0</v>
      </c>
      <c r="J328" s="147"/>
      <c r="K328" s="155">
        <v>531.14231370160201</v>
      </c>
      <c r="L328" s="88">
        <f t="shared" si="54"/>
        <v>504.95193676223784</v>
      </c>
      <c r="M328" s="160">
        <v>268201.34000000003</v>
      </c>
      <c r="N328" s="167">
        <v>2016</v>
      </c>
      <c r="O328" s="167">
        <f>IFERROR(('General Input Sheet'!$G$38/(VLOOKUP(N328,'General Input Sheet'!$E$38:$G$44,3,FALSE))),1)</f>
        <v>1</v>
      </c>
      <c r="P328" s="189">
        <f t="shared" si="46"/>
        <v>268201.34000000003</v>
      </c>
      <c r="Q328" s="89" t="str">
        <f t="shared" si="55"/>
        <v>y</v>
      </c>
      <c r="R328" s="89" t="str">
        <f t="shared" si="55"/>
        <v>y</v>
      </c>
      <c r="S328" s="89" t="str">
        <f t="shared" si="55"/>
        <v>y</v>
      </c>
      <c r="T328" s="89" t="str">
        <f t="shared" si="55"/>
        <v>y</v>
      </c>
      <c r="U328" s="254" t="str">
        <f t="shared" si="55"/>
        <v>y</v>
      </c>
      <c r="V328" s="308"/>
      <c r="W328" s="309" cm="1">
        <f t="array" ref="W328">_xlfn.IFS(AND(Q328="y",$D328="Local"), 1, AND(Q328="y",$D328&lt;&gt;"Local"),1.49009696454663%, Q328="","")</f>
        <v>1.49009696454663E-2</v>
      </c>
      <c r="X328" s="272" cm="1">
        <f t="array" ref="X328">_xlfn.IFS(AND(R328="y",$D328="Local"), 1, AND(R328="y",$D328&lt;&gt;"Local"),20.7557554582461%, R328="","")</f>
        <v>0.207557554582461</v>
      </c>
      <c r="Y328" s="272" cm="1">
        <f t="array" ref="Y328">_xlfn.IFS(AND(S328="y",$D328="Local"), 1, AND(S328="y",$D328&lt;&gt;"Local"),30.3499104327336%, S328="","")</f>
        <v>0.30349910432733601</v>
      </c>
      <c r="Z328" s="272" cm="1">
        <f t="array" ref="Z328">_xlfn.IFS(AND(T328="y",$D328="Local"), 1, AND(T328="y",$D328&lt;&gt;"Local"),29.0043833288201%, T328="","")</f>
        <v>0.29004383328820099</v>
      </c>
      <c r="AA328" s="272" cm="1">
        <f t="array" ref="AA328">_xlfn.IFS(AND(U328="y",$D328="Local"), 1, AND(U328="y",$D328&lt;&gt;"Local"),18.3998538156536%, U328="","")</f>
        <v>0.183998538156536</v>
      </c>
      <c r="AB328" s="68">
        <f t="shared" si="47"/>
        <v>1.0000000000000004</v>
      </c>
      <c r="AD328" s="306">
        <f t="shared" si="48"/>
        <v>3996.4600262133854</v>
      </c>
      <c r="AE328" s="242">
        <f t="shared" si="49"/>
        <v>55667.214266139163</v>
      </c>
      <c r="AF328" s="242">
        <f t="shared" si="50"/>
        <v>81398.866469391302</v>
      </c>
      <c r="AG328" s="242">
        <f t="shared" si="51"/>
        <v>77790.144746632097</v>
      </c>
      <c r="AH328" s="352">
        <f t="shared" si="52"/>
        <v>49348.654491624067</v>
      </c>
    </row>
    <row r="329" spans="2:34">
      <c r="B329" s="166" t="s">
        <v>457</v>
      </c>
      <c r="C329" s="150"/>
      <c r="D329" s="150" t="s">
        <v>116</v>
      </c>
      <c r="E329" s="150" t="s">
        <v>141</v>
      </c>
      <c r="F329" s="150" t="s">
        <v>880</v>
      </c>
      <c r="G329" s="146"/>
      <c r="H329" s="155"/>
      <c r="I329" s="135">
        <f t="shared" si="53"/>
        <v>0</v>
      </c>
      <c r="J329" s="147"/>
      <c r="K329" s="155">
        <v>2141.93320878945</v>
      </c>
      <c r="L329" s="88">
        <f t="shared" si="54"/>
        <v>78.639753708845745</v>
      </c>
      <c r="M329" s="160">
        <v>168441.1</v>
      </c>
      <c r="N329" s="167">
        <v>2016</v>
      </c>
      <c r="O329" s="167">
        <f>IFERROR(('General Input Sheet'!$G$38/(VLOOKUP(N329,'General Input Sheet'!$E$38:$G$44,3,FALSE))),1)</f>
        <v>1</v>
      </c>
      <c r="P329" s="189">
        <f t="shared" si="46"/>
        <v>168441.1</v>
      </c>
      <c r="Q329" s="89" t="str">
        <f t="shared" si="55"/>
        <v/>
      </c>
      <c r="R329" s="89" t="str">
        <f t="shared" si="55"/>
        <v/>
      </c>
      <c r="S329" s="89" t="str">
        <f t="shared" si="55"/>
        <v>y</v>
      </c>
      <c r="T329" s="89" t="str">
        <f t="shared" si="55"/>
        <v/>
      </c>
      <c r="U329" s="254" t="str">
        <f t="shared" si="55"/>
        <v/>
      </c>
      <c r="V329" s="308"/>
      <c r="W329" s="309" t="str" cm="1">
        <f t="array" ref="W329">_xlfn.IFS(AND(Q329="y",$D329="Local"), 1, AND(Q329="y",$D329&lt;&gt;"Local"),1.49009696454663%, Q329="","")</f>
        <v/>
      </c>
      <c r="X329" s="272" t="str" cm="1">
        <f t="array" ref="X329">_xlfn.IFS(AND(R329="y",$D329="Local"), 1, AND(R329="y",$D329&lt;&gt;"Local"),20.7557554582461%, R329="","")</f>
        <v/>
      </c>
      <c r="Y329" s="272" cm="1">
        <f t="array" ref="Y329">_xlfn.IFS(AND(S329="y",$D329="Local"), 1, AND(S329="y",$D329&lt;&gt;"Local"),30.3499104327336%, S329="","")</f>
        <v>1</v>
      </c>
      <c r="Z329" s="272" t="str" cm="1">
        <f t="array" ref="Z329">_xlfn.IFS(AND(T329="y",$D329="Local"), 1, AND(T329="y",$D329&lt;&gt;"Local"),29.0043833288201%, T329="","")</f>
        <v/>
      </c>
      <c r="AA329" s="272" t="str" cm="1">
        <f t="array" ref="AA329">_xlfn.IFS(AND(U329="y",$D329="Local"), 1, AND(U329="y",$D329&lt;&gt;"Local"),18.3998538156536%, U329="","")</f>
        <v/>
      </c>
      <c r="AB329" s="68">
        <f t="shared" si="47"/>
        <v>1</v>
      </c>
      <c r="AD329" s="306" t="str">
        <f t="shared" si="48"/>
        <v/>
      </c>
      <c r="AE329" s="242" t="str">
        <f t="shared" si="49"/>
        <v/>
      </c>
      <c r="AF329" s="242">
        <f t="shared" si="50"/>
        <v>168441.1</v>
      </c>
      <c r="AG329" s="242" t="str">
        <f t="shared" si="51"/>
        <v/>
      </c>
      <c r="AH329" s="352" t="str">
        <f t="shared" si="52"/>
        <v/>
      </c>
    </row>
    <row r="330" spans="2:34">
      <c r="B330" s="166" t="s">
        <v>458</v>
      </c>
      <c r="C330" s="150"/>
      <c r="D330" s="150" t="s">
        <v>118</v>
      </c>
      <c r="E330" s="150" t="s">
        <v>141</v>
      </c>
      <c r="F330" s="150" t="s">
        <v>881</v>
      </c>
      <c r="G330" s="146"/>
      <c r="H330" s="155"/>
      <c r="I330" s="135">
        <f t="shared" si="53"/>
        <v>0</v>
      </c>
      <c r="J330" s="147"/>
      <c r="K330" s="155">
        <v>531.14473845240695</v>
      </c>
      <c r="L330" s="88">
        <f t="shared" si="54"/>
        <v>504.9496315852748</v>
      </c>
      <c r="M330" s="160">
        <v>268201.34000000003</v>
      </c>
      <c r="N330" s="167">
        <v>2016</v>
      </c>
      <c r="O330" s="167">
        <f>IFERROR(('General Input Sheet'!$G$38/(VLOOKUP(N330,'General Input Sheet'!$E$38:$G$44,3,FALSE))),1)</f>
        <v>1</v>
      </c>
      <c r="P330" s="189">
        <f t="shared" si="46"/>
        <v>268201.34000000003</v>
      </c>
      <c r="Q330" s="89" t="str">
        <f t="shared" si="55"/>
        <v>y</v>
      </c>
      <c r="R330" s="89" t="str">
        <f t="shared" si="55"/>
        <v>y</v>
      </c>
      <c r="S330" s="89" t="str">
        <f t="shared" si="55"/>
        <v>y</v>
      </c>
      <c r="T330" s="89" t="str">
        <f t="shared" si="55"/>
        <v>y</v>
      </c>
      <c r="U330" s="254" t="str">
        <f t="shared" si="55"/>
        <v>y</v>
      </c>
      <c r="V330" s="308"/>
      <c r="W330" s="309" cm="1">
        <f t="array" ref="W330">_xlfn.IFS(AND(Q330="y",$D330="Local"), 1, AND(Q330="y",$D330&lt;&gt;"Local"),1.49009696454663%, Q330="","")</f>
        <v>1.49009696454663E-2</v>
      </c>
      <c r="X330" s="272" cm="1">
        <f t="array" ref="X330">_xlfn.IFS(AND(R330="y",$D330="Local"), 1, AND(R330="y",$D330&lt;&gt;"Local"),20.7557554582461%, R330="","")</f>
        <v>0.207557554582461</v>
      </c>
      <c r="Y330" s="272" cm="1">
        <f t="array" ref="Y330">_xlfn.IFS(AND(S330="y",$D330="Local"), 1, AND(S330="y",$D330&lt;&gt;"Local"),30.3499104327336%, S330="","")</f>
        <v>0.30349910432733601</v>
      </c>
      <c r="Z330" s="272" cm="1">
        <f t="array" ref="Z330">_xlfn.IFS(AND(T330="y",$D330="Local"), 1, AND(T330="y",$D330&lt;&gt;"Local"),29.0043833288201%, T330="","")</f>
        <v>0.29004383328820099</v>
      </c>
      <c r="AA330" s="272" cm="1">
        <f t="array" ref="AA330">_xlfn.IFS(AND(U330="y",$D330="Local"), 1, AND(U330="y",$D330&lt;&gt;"Local"),18.3998538156536%, U330="","")</f>
        <v>0.183998538156536</v>
      </c>
      <c r="AB330" s="68">
        <f t="shared" si="47"/>
        <v>1.0000000000000004</v>
      </c>
      <c r="AD330" s="306">
        <f t="shared" si="48"/>
        <v>3996.4600262133854</v>
      </c>
      <c r="AE330" s="242">
        <f t="shared" si="49"/>
        <v>55667.214266139163</v>
      </c>
      <c r="AF330" s="242">
        <f t="shared" si="50"/>
        <v>81398.866469391302</v>
      </c>
      <c r="AG330" s="242">
        <f t="shared" si="51"/>
        <v>77790.144746632097</v>
      </c>
      <c r="AH330" s="352">
        <f t="shared" si="52"/>
        <v>49348.654491624067</v>
      </c>
    </row>
    <row r="331" spans="2:34">
      <c r="B331" s="166" t="s">
        <v>459</v>
      </c>
      <c r="C331" s="150"/>
      <c r="D331" s="150" t="s">
        <v>118</v>
      </c>
      <c r="E331" s="150" t="s">
        <v>140</v>
      </c>
      <c r="F331" s="150" t="s">
        <v>882</v>
      </c>
      <c r="G331" s="146"/>
      <c r="H331" s="155"/>
      <c r="I331" s="135">
        <f t="shared" si="53"/>
        <v>0</v>
      </c>
      <c r="J331" s="147"/>
      <c r="K331" s="155">
        <v>404.68074751488098</v>
      </c>
      <c r="L331" s="88">
        <f t="shared" si="54"/>
        <v>979.56772699057819</v>
      </c>
      <c r="M331" s="160">
        <v>396412.2</v>
      </c>
      <c r="N331" s="167">
        <v>2016</v>
      </c>
      <c r="O331" s="167">
        <f>IFERROR(('General Input Sheet'!$G$38/(VLOOKUP(N331,'General Input Sheet'!$E$38:$G$44,3,FALSE))),1)</f>
        <v>1</v>
      </c>
      <c r="P331" s="189">
        <f t="shared" si="46"/>
        <v>396412.2</v>
      </c>
      <c r="Q331" s="89" t="str">
        <f t="shared" si="55"/>
        <v>y</v>
      </c>
      <c r="R331" s="89" t="str">
        <f t="shared" si="55"/>
        <v>y</v>
      </c>
      <c r="S331" s="89" t="str">
        <f t="shared" si="55"/>
        <v>y</v>
      </c>
      <c r="T331" s="89" t="str">
        <f t="shared" si="55"/>
        <v>y</v>
      </c>
      <c r="U331" s="254" t="str">
        <f t="shared" si="55"/>
        <v>y</v>
      </c>
      <c r="V331" s="308"/>
      <c r="W331" s="309" cm="1">
        <f t="array" ref="W331">_xlfn.IFS(AND(Q331="y",$D331="Local"), 1, AND(Q331="y",$D331&lt;&gt;"Local"),1.49009696454663%, Q331="","")</f>
        <v>1.49009696454663E-2</v>
      </c>
      <c r="X331" s="272" cm="1">
        <f t="array" ref="X331">_xlfn.IFS(AND(R331="y",$D331="Local"), 1, AND(R331="y",$D331&lt;&gt;"Local"),20.7557554582461%, R331="","")</f>
        <v>0.207557554582461</v>
      </c>
      <c r="Y331" s="272" cm="1">
        <f t="array" ref="Y331">_xlfn.IFS(AND(S331="y",$D331="Local"), 1, AND(S331="y",$D331&lt;&gt;"Local"),30.3499104327336%, S331="","")</f>
        <v>0.30349910432733601</v>
      </c>
      <c r="Z331" s="272" cm="1">
        <f t="array" ref="Z331">_xlfn.IFS(AND(T331="y",$D331="Local"), 1, AND(T331="y",$D331&lt;&gt;"Local"),29.0043833288201%, T331="","")</f>
        <v>0.29004383328820099</v>
      </c>
      <c r="AA331" s="272" cm="1">
        <f t="array" ref="AA331">_xlfn.IFS(AND(U331="y",$D331="Local"), 1, AND(U331="y",$D331&lt;&gt;"Local"),18.3998538156536%, U331="","")</f>
        <v>0.183998538156536</v>
      </c>
      <c r="AB331" s="68">
        <f t="shared" si="47"/>
        <v>1.0000000000000004</v>
      </c>
      <c r="AD331" s="306">
        <f t="shared" si="48"/>
        <v>5906.9261592925131</v>
      </c>
      <c r="AE331" s="242">
        <f t="shared" si="49"/>
        <v>82278.346838653422</v>
      </c>
      <c r="AF331" s="242">
        <f t="shared" si="50"/>
        <v>120310.74764442875</v>
      </c>
      <c r="AG331" s="242">
        <f t="shared" si="51"/>
        <v>114976.91405020894</v>
      </c>
      <c r="AH331" s="352">
        <f t="shared" si="52"/>
        <v>72939.265307416354</v>
      </c>
    </row>
    <row r="332" spans="2:34">
      <c r="B332" s="166" t="s">
        <v>460</v>
      </c>
      <c r="C332" s="150"/>
      <c r="D332" s="150" t="s">
        <v>118</v>
      </c>
      <c r="E332" s="150" t="s">
        <v>141</v>
      </c>
      <c r="F332" s="150" t="s">
        <v>883</v>
      </c>
      <c r="G332" s="146"/>
      <c r="H332" s="155"/>
      <c r="I332" s="135">
        <f t="shared" si="53"/>
        <v>0</v>
      </c>
      <c r="J332" s="147"/>
      <c r="K332" s="155">
        <v>531.14543061679694</v>
      </c>
      <c r="L332" s="88">
        <f t="shared" si="54"/>
        <v>504.94897355804989</v>
      </c>
      <c r="M332" s="160">
        <v>268201.34000000003</v>
      </c>
      <c r="N332" s="167">
        <v>2016</v>
      </c>
      <c r="O332" s="167">
        <f>IFERROR(('General Input Sheet'!$G$38/(VLOOKUP(N332,'General Input Sheet'!$E$38:$G$44,3,FALSE))),1)</f>
        <v>1</v>
      </c>
      <c r="P332" s="189">
        <f t="shared" si="46"/>
        <v>268201.34000000003</v>
      </c>
      <c r="Q332" s="89" t="str">
        <f t="shared" si="55"/>
        <v>y</v>
      </c>
      <c r="R332" s="89" t="str">
        <f t="shared" si="55"/>
        <v>y</v>
      </c>
      <c r="S332" s="89" t="str">
        <f t="shared" si="55"/>
        <v>y</v>
      </c>
      <c r="T332" s="89" t="str">
        <f t="shared" si="55"/>
        <v>y</v>
      </c>
      <c r="U332" s="254" t="str">
        <f t="shared" si="55"/>
        <v>y</v>
      </c>
      <c r="V332" s="308"/>
      <c r="W332" s="309" cm="1">
        <f t="array" ref="W332">_xlfn.IFS(AND(Q332="y",$D332="Local"), 1, AND(Q332="y",$D332&lt;&gt;"Local"),1.49009696454663%, Q332="","")</f>
        <v>1.49009696454663E-2</v>
      </c>
      <c r="X332" s="272" cm="1">
        <f t="array" ref="X332">_xlfn.IFS(AND(R332="y",$D332="Local"), 1, AND(R332="y",$D332&lt;&gt;"Local"),20.7557554582461%, R332="","")</f>
        <v>0.207557554582461</v>
      </c>
      <c r="Y332" s="272" cm="1">
        <f t="array" ref="Y332">_xlfn.IFS(AND(S332="y",$D332="Local"), 1, AND(S332="y",$D332&lt;&gt;"Local"),30.3499104327336%, S332="","")</f>
        <v>0.30349910432733601</v>
      </c>
      <c r="Z332" s="272" cm="1">
        <f t="array" ref="Z332">_xlfn.IFS(AND(T332="y",$D332="Local"), 1, AND(T332="y",$D332&lt;&gt;"Local"),29.0043833288201%, T332="","")</f>
        <v>0.29004383328820099</v>
      </c>
      <c r="AA332" s="272" cm="1">
        <f t="array" ref="AA332">_xlfn.IFS(AND(U332="y",$D332="Local"), 1, AND(U332="y",$D332&lt;&gt;"Local"),18.3998538156536%, U332="","")</f>
        <v>0.183998538156536</v>
      </c>
      <c r="AB332" s="68">
        <f t="shared" si="47"/>
        <v>1.0000000000000004</v>
      </c>
      <c r="AD332" s="306">
        <f t="shared" si="48"/>
        <v>3996.4600262133854</v>
      </c>
      <c r="AE332" s="242">
        <f t="shared" si="49"/>
        <v>55667.214266139163</v>
      </c>
      <c r="AF332" s="242">
        <f t="shared" si="50"/>
        <v>81398.866469391302</v>
      </c>
      <c r="AG332" s="242">
        <f t="shared" si="51"/>
        <v>77790.144746632097</v>
      </c>
      <c r="AH332" s="352">
        <f t="shared" si="52"/>
        <v>49348.654491624067</v>
      </c>
    </row>
    <row r="333" spans="2:34">
      <c r="B333" s="166" t="s">
        <v>461</v>
      </c>
      <c r="C333" s="150"/>
      <c r="D333" s="150" t="s">
        <v>118</v>
      </c>
      <c r="E333" s="150" t="s">
        <v>140</v>
      </c>
      <c r="F333" s="150" t="s">
        <v>884</v>
      </c>
      <c r="G333" s="146"/>
      <c r="H333" s="155"/>
      <c r="I333" s="135">
        <f t="shared" si="53"/>
        <v>0</v>
      </c>
      <c r="J333" s="147"/>
      <c r="K333" s="155">
        <v>404.66499423198701</v>
      </c>
      <c r="L333" s="88">
        <f t="shared" si="54"/>
        <v>979.60586077466382</v>
      </c>
      <c r="M333" s="160">
        <v>396412.2</v>
      </c>
      <c r="N333" s="167">
        <v>2016</v>
      </c>
      <c r="O333" s="167">
        <f>IFERROR(('General Input Sheet'!$G$38/(VLOOKUP(N333,'General Input Sheet'!$E$38:$G$44,3,FALSE))),1)</f>
        <v>1</v>
      </c>
      <c r="P333" s="189">
        <f t="shared" ref="P333:P396" si="56">J333+M333</f>
        <v>396412.2</v>
      </c>
      <c r="Q333" s="89" t="str">
        <f t="shared" si="55"/>
        <v>y</v>
      </c>
      <c r="R333" s="89" t="str">
        <f t="shared" si="55"/>
        <v>y</v>
      </c>
      <c r="S333" s="89" t="str">
        <f t="shared" si="55"/>
        <v>y</v>
      </c>
      <c r="T333" s="89" t="str">
        <f t="shared" si="55"/>
        <v>y</v>
      </c>
      <c r="U333" s="254" t="str">
        <f t="shared" si="55"/>
        <v>y</v>
      </c>
      <c r="V333" s="308"/>
      <c r="W333" s="309" cm="1">
        <f t="array" ref="W333">_xlfn.IFS(AND(Q333="y",$D333="Local"), 1, AND(Q333="y",$D333&lt;&gt;"Local"),1.49009696454663%, Q333="","")</f>
        <v>1.49009696454663E-2</v>
      </c>
      <c r="X333" s="272" cm="1">
        <f t="array" ref="X333">_xlfn.IFS(AND(R333="y",$D333="Local"), 1, AND(R333="y",$D333&lt;&gt;"Local"),20.7557554582461%, R333="","")</f>
        <v>0.207557554582461</v>
      </c>
      <c r="Y333" s="272" cm="1">
        <f t="array" ref="Y333">_xlfn.IFS(AND(S333="y",$D333="Local"), 1, AND(S333="y",$D333&lt;&gt;"Local"),30.3499104327336%, S333="","")</f>
        <v>0.30349910432733601</v>
      </c>
      <c r="Z333" s="272" cm="1">
        <f t="array" ref="Z333">_xlfn.IFS(AND(T333="y",$D333="Local"), 1, AND(T333="y",$D333&lt;&gt;"Local"),29.0043833288201%, T333="","")</f>
        <v>0.29004383328820099</v>
      </c>
      <c r="AA333" s="272" cm="1">
        <f t="array" ref="AA333">_xlfn.IFS(AND(U333="y",$D333="Local"), 1, AND(U333="y",$D333&lt;&gt;"Local"),18.3998538156536%, U333="","")</f>
        <v>0.183998538156536</v>
      </c>
      <c r="AB333" s="68">
        <f t="shared" ref="AB333:AB396" si="57">SUM(W333:AA333)</f>
        <v>1.0000000000000004</v>
      </c>
      <c r="AD333" s="306">
        <f t="shared" ref="AD333:AD396" si="58">IF(W333="","",(W333/$AB333)*$P333)</f>
        <v>5906.9261592925131</v>
      </c>
      <c r="AE333" s="242">
        <f t="shared" ref="AE333:AE396" si="59">IF(X333="","",(X333/$AB333)*$P333)</f>
        <v>82278.346838653422</v>
      </c>
      <c r="AF333" s="242">
        <f t="shared" ref="AF333:AF396" si="60">IF(Y333="","",(Y333/$AB333)*$P333)</f>
        <v>120310.74764442875</v>
      </c>
      <c r="AG333" s="242">
        <f t="shared" ref="AG333:AG396" si="61">IF(Z333="","",(Z333/$AB333)*$P333)</f>
        <v>114976.91405020894</v>
      </c>
      <c r="AH333" s="352">
        <f t="shared" ref="AH333:AH396" si="62">IF(AA333="","",(AA333/$AB333)*$P333)</f>
        <v>72939.265307416354</v>
      </c>
    </row>
    <row r="334" spans="2:34">
      <c r="B334" s="166" t="s">
        <v>462</v>
      </c>
      <c r="C334" s="150"/>
      <c r="D334" s="150" t="s">
        <v>118</v>
      </c>
      <c r="E334" s="150" t="s">
        <v>141</v>
      </c>
      <c r="F334" s="150" t="s">
        <v>885</v>
      </c>
      <c r="G334" s="146"/>
      <c r="H334" s="155"/>
      <c r="I334" s="135">
        <f t="shared" ref="I334:I397" si="63">IFERROR((J334-G334)/H334,0)</f>
        <v>0</v>
      </c>
      <c r="J334" s="147"/>
      <c r="K334" s="155">
        <v>531.119174850062</v>
      </c>
      <c r="L334" s="88">
        <f t="shared" si="54"/>
        <v>504.97393560628802</v>
      </c>
      <c r="M334" s="160">
        <v>268201.34000000003</v>
      </c>
      <c r="N334" s="167">
        <v>2016</v>
      </c>
      <c r="O334" s="167">
        <f>IFERROR(('General Input Sheet'!$G$38/(VLOOKUP(N334,'General Input Sheet'!$E$38:$G$44,3,FALSE))),1)</f>
        <v>1</v>
      </c>
      <c r="P334" s="189">
        <f t="shared" si="56"/>
        <v>268201.34000000003</v>
      </c>
      <c r="Q334" s="89" t="str">
        <f t="shared" si="55"/>
        <v>y</v>
      </c>
      <c r="R334" s="89" t="str">
        <f t="shared" si="55"/>
        <v>y</v>
      </c>
      <c r="S334" s="89" t="str">
        <f t="shared" si="55"/>
        <v>y</v>
      </c>
      <c r="T334" s="89" t="str">
        <f t="shared" si="55"/>
        <v>y</v>
      </c>
      <c r="U334" s="254" t="str">
        <f t="shared" si="55"/>
        <v>y</v>
      </c>
      <c r="V334" s="308"/>
      <c r="W334" s="309" cm="1">
        <f t="array" ref="W334">_xlfn.IFS(AND(Q334="y",$D334="Local"), 1, AND(Q334="y",$D334&lt;&gt;"Local"),1.49009696454663%, Q334="","")</f>
        <v>1.49009696454663E-2</v>
      </c>
      <c r="X334" s="272" cm="1">
        <f t="array" ref="X334">_xlfn.IFS(AND(R334="y",$D334="Local"), 1, AND(R334="y",$D334&lt;&gt;"Local"),20.7557554582461%, R334="","")</f>
        <v>0.207557554582461</v>
      </c>
      <c r="Y334" s="272" cm="1">
        <f t="array" ref="Y334">_xlfn.IFS(AND(S334="y",$D334="Local"), 1, AND(S334="y",$D334&lt;&gt;"Local"),30.3499104327336%, S334="","")</f>
        <v>0.30349910432733601</v>
      </c>
      <c r="Z334" s="272" cm="1">
        <f t="array" ref="Z334">_xlfn.IFS(AND(T334="y",$D334="Local"), 1, AND(T334="y",$D334&lt;&gt;"Local"),29.0043833288201%, T334="","")</f>
        <v>0.29004383328820099</v>
      </c>
      <c r="AA334" s="272" cm="1">
        <f t="array" ref="AA334">_xlfn.IFS(AND(U334="y",$D334="Local"), 1, AND(U334="y",$D334&lt;&gt;"Local"),18.3998538156536%, U334="","")</f>
        <v>0.183998538156536</v>
      </c>
      <c r="AB334" s="68">
        <f t="shared" si="57"/>
        <v>1.0000000000000004</v>
      </c>
      <c r="AD334" s="306">
        <f t="shared" si="58"/>
        <v>3996.4600262133854</v>
      </c>
      <c r="AE334" s="242">
        <f t="shared" si="59"/>
        <v>55667.214266139163</v>
      </c>
      <c r="AF334" s="242">
        <f t="shared" si="60"/>
        <v>81398.866469391302</v>
      </c>
      <c r="AG334" s="242">
        <f t="shared" si="61"/>
        <v>77790.144746632097</v>
      </c>
      <c r="AH334" s="352">
        <f t="shared" si="62"/>
        <v>49348.654491624067</v>
      </c>
    </row>
    <row r="335" spans="2:34">
      <c r="B335" s="166" t="s">
        <v>463</v>
      </c>
      <c r="C335" s="150"/>
      <c r="D335" s="150" t="s">
        <v>116</v>
      </c>
      <c r="E335" s="150" t="s">
        <v>143</v>
      </c>
      <c r="F335" s="150" t="s">
        <v>886</v>
      </c>
      <c r="G335" s="146"/>
      <c r="H335" s="155"/>
      <c r="I335" s="135">
        <f t="shared" si="63"/>
        <v>0</v>
      </c>
      <c r="J335" s="147"/>
      <c r="K335" s="155">
        <v>600.66044252819904</v>
      </c>
      <c r="L335" s="88">
        <f t="shared" ref="L335:L398" si="64">IFERROR(M335/K335,0)</f>
        <v>44.008874446162636</v>
      </c>
      <c r="M335" s="160">
        <v>26434.39</v>
      </c>
      <c r="N335" s="167">
        <v>2016</v>
      </c>
      <c r="O335" s="167">
        <f>IFERROR(('General Input Sheet'!$G$38/(VLOOKUP(N335,'General Input Sheet'!$E$38:$G$44,3,FALSE))),1)</f>
        <v>1</v>
      </c>
      <c r="P335" s="189">
        <f t="shared" si="56"/>
        <v>26434.39</v>
      </c>
      <c r="Q335" s="89" t="str">
        <f t="shared" si="55"/>
        <v/>
      </c>
      <c r="R335" s="89" t="str">
        <f t="shared" si="55"/>
        <v/>
      </c>
      <c r="S335" s="89" t="str">
        <f t="shared" si="55"/>
        <v/>
      </c>
      <c r="T335" s="89" t="str">
        <f t="shared" si="55"/>
        <v/>
      </c>
      <c r="U335" s="254" t="str">
        <f t="shared" si="55"/>
        <v>y</v>
      </c>
      <c r="V335" s="308"/>
      <c r="W335" s="309" t="str" cm="1">
        <f t="array" ref="W335">_xlfn.IFS(AND(Q335="y",$D335="Local"), 1, AND(Q335="y",$D335&lt;&gt;"Local"),1.49009696454663%, Q335="","")</f>
        <v/>
      </c>
      <c r="X335" s="272" t="str" cm="1">
        <f t="array" ref="X335">_xlfn.IFS(AND(R335="y",$D335="Local"), 1, AND(R335="y",$D335&lt;&gt;"Local"),20.7557554582461%, R335="","")</f>
        <v/>
      </c>
      <c r="Y335" s="272" t="str" cm="1">
        <f t="array" ref="Y335">_xlfn.IFS(AND(S335="y",$D335="Local"), 1, AND(S335="y",$D335&lt;&gt;"Local"),30.3499104327336%, S335="","")</f>
        <v/>
      </c>
      <c r="Z335" s="272" t="str" cm="1">
        <f t="array" ref="Z335">_xlfn.IFS(AND(T335="y",$D335="Local"), 1, AND(T335="y",$D335&lt;&gt;"Local"),29.0043833288201%, T335="","")</f>
        <v/>
      </c>
      <c r="AA335" s="272" cm="1">
        <f t="array" ref="AA335">_xlfn.IFS(AND(U335="y",$D335="Local"), 1, AND(U335="y",$D335&lt;&gt;"Local"),18.3998538156536%, U335="","")</f>
        <v>1</v>
      </c>
      <c r="AB335" s="68">
        <f t="shared" si="57"/>
        <v>1</v>
      </c>
      <c r="AD335" s="306" t="str">
        <f t="shared" si="58"/>
        <v/>
      </c>
      <c r="AE335" s="242" t="str">
        <f t="shared" si="59"/>
        <v/>
      </c>
      <c r="AF335" s="242" t="str">
        <f t="shared" si="60"/>
        <v/>
      </c>
      <c r="AG335" s="242" t="str">
        <f t="shared" si="61"/>
        <v/>
      </c>
      <c r="AH335" s="352">
        <f t="shared" si="62"/>
        <v>26434.39</v>
      </c>
    </row>
    <row r="336" spans="2:34">
      <c r="B336" s="166" t="s">
        <v>464</v>
      </c>
      <c r="C336" s="150"/>
      <c r="D336" s="150" t="s">
        <v>118</v>
      </c>
      <c r="E336" s="150" t="s">
        <v>140</v>
      </c>
      <c r="F336" s="150" t="s">
        <v>887</v>
      </c>
      <c r="G336" s="146"/>
      <c r="H336" s="155"/>
      <c r="I336" s="135">
        <f t="shared" si="63"/>
        <v>0</v>
      </c>
      <c r="J336" s="147"/>
      <c r="K336" s="155">
        <v>442.13234788864003</v>
      </c>
      <c r="L336" s="88">
        <f t="shared" si="64"/>
        <v>990.96979013703458</v>
      </c>
      <c r="M336" s="160">
        <v>438139.8</v>
      </c>
      <c r="N336" s="167">
        <v>2016</v>
      </c>
      <c r="O336" s="167">
        <f>IFERROR(('General Input Sheet'!$G$38/(VLOOKUP(N336,'General Input Sheet'!$E$38:$G$44,3,FALSE))),1)</f>
        <v>1</v>
      </c>
      <c r="P336" s="189">
        <f t="shared" si="56"/>
        <v>438139.8</v>
      </c>
      <c r="Q336" s="89" t="str">
        <f t="shared" ref="Q336:U386" si="65">IF(OR(Q$9=$E336,$D336="Metropolitan",$D336="District"),"y","")</f>
        <v>y</v>
      </c>
      <c r="R336" s="89" t="str">
        <f t="shared" si="65"/>
        <v>y</v>
      </c>
      <c r="S336" s="89" t="str">
        <f t="shared" si="65"/>
        <v>y</v>
      </c>
      <c r="T336" s="89" t="str">
        <f t="shared" si="65"/>
        <v>y</v>
      </c>
      <c r="U336" s="254" t="str">
        <f t="shared" si="65"/>
        <v>y</v>
      </c>
      <c r="V336" s="308"/>
      <c r="W336" s="309" cm="1">
        <f t="array" ref="W336">_xlfn.IFS(AND(Q336="y",$D336="Local"), 1, AND(Q336="y",$D336&lt;&gt;"Local"),1.49009696454663%, Q336="","")</f>
        <v>1.49009696454663E-2</v>
      </c>
      <c r="X336" s="272" cm="1">
        <f t="array" ref="X336">_xlfn.IFS(AND(R336="y",$D336="Local"), 1, AND(R336="y",$D336&lt;&gt;"Local"),20.7557554582461%, R336="","")</f>
        <v>0.207557554582461</v>
      </c>
      <c r="Y336" s="272" cm="1">
        <f t="array" ref="Y336">_xlfn.IFS(AND(S336="y",$D336="Local"), 1, AND(S336="y",$D336&lt;&gt;"Local"),30.3499104327336%, S336="","")</f>
        <v>0.30349910432733601</v>
      </c>
      <c r="Z336" s="272" cm="1">
        <f t="array" ref="Z336">_xlfn.IFS(AND(T336="y",$D336="Local"), 1, AND(T336="y",$D336&lt;&gt;"Local"),29.0043833288201%, T336="","")</f>
        <v>0.29004383328820099</v>
      </c>
      <c r="AA336" s="272" cm="1">
        <f t="array" ref="AA336">_xlfn.IFS(AND(U336="y",$D336="Local"), 1, AND(U336="y",$D336&lt;&gt;"Local"),18.3998538156536%, U336="","")</f>
        <v>0.183998538156536</v>
      </c>
      <c r="AB336" s="68">
        <f t="shared" si="57"/>
        <v>1.0000000000000004</v>
      </c>
      <c r="AD336" s="306">
        <f t="shared" si="58"/>
        <v>6528.7078602706724</v>
      </c>
      <c r="AE336" s="242">
        <f t="shared" si="59"/>
        <v>90939.225453248509</v>
      </c>
      <c r="AF336" s="242">
        <f t="shared" si="60"/>
        <v>132975.03687015807</v>
      </c>
      <c r="AG336" s="242">
        <f t="shared" si="61"/>
        <v>127079.74710812567</v>
      </c>
      <c r="AH336" s="352">
        <f t="shared" si="62"/>
        <v>80617.082708197006</v>
      </c>
    </row>
    <row r="337" spans="2:34">
      <c r="B337" s="166" t="s">
        <v>465</v>
      </c>
      <c r="C337" s="150"/>
      <c r="D337" s="150" t="s">
        <v>118</v>
      </c>
      <c r="E337" s="150" t="s">
        <v>141</v>
      </c>
      <c r="F337" s="150" t="s">
        <v>888</v>
      </c>
      <c r="G337" s="146"/>
      <c r="H337" s="155"/>
      <c r="I337" s="135">
        <f t="shared" si="63"/>
        <v>0</v>
      </c>
      <c r="J337" s="147"/>
      <c r="K337" s="155">
        <v>531.16058693697596</v>
      </c>
      <c r="L337" s="88">
        <f t="shared" si="64"/>
        <v>504.93456516912659</v>
      </c>
      <c r="M337" s="160">
        <v>268201.34000000003</v>
      </c>
      <c r="N337" s="167">
        <v>2016</v>
      </c>
      <c r="O337" s="167">
        <f>IFERROR(('General Input Sheet'!$G$38/(VLOOKUP(N337,'General Input Sheet'!$E$38:$G$44,3,FALSE))),1)</f>
        <v>1</v>
      </c>
      <c r="P337" s="189">
        <f t="shared" si="56"/>
        <v>268201.34000000003</v>
      </c>
      <c r="Q337" s="89" t="str">
        <f t="shared" si="65"/>
        <v>y</v>
      </c>
      <c r="R337" s="89" t="str">
        <f t="shared" si="65"/>
        <v>y</v>
      </c>
      <c r="S337" s="89" t="str">
        <f t="shared" si="65"/>
        <v>y</v>
      </c>
      <c r="T337" s="89" t="str">
        <f t="shared" si="65"/>
        <v>y</v>
      </c>
      <c r="U337" s="254" t="str">
        <f t="shared" si="65"/>
        <v>y</v>
      </c>
      <c r="V337" s="308"/>
      <c r="W337" s="309" cm="1">
        <f t="array" ref="W337">_xlfn.IFS(AND(Q337="y",$D337="Local"), 1, AND(Q337="y",$D337&lt;&gt;"Local"),1.49009696454663%, Q337="","")</f>
        <v>1.49009696454663E-2</v>
      </c>
      <c r="X337" s="272" cm="1">
        <f t="array" ref="X337">_xlfn.IFS(AND(R337="y",$D337="Local"), 1, AND(R337="y",$D337&lt;&gt;"Local"),20.7557554582461%, R337="","")</f>
        <v>0.207557554582461</v>
      </c>
      <c r="Y337" s="272" cm="1">
        <f t="array" ref="Y337">_xlfn.IFS(AND(S337="y",$D337="Local"), 1, AND(S337="y",$D337&lt;&gt;"Local"),30.3499104327336%, S337="","")</f>
        <v>0.30349910432733601</v>
      </c>
      <c r="Z337" s="272" cm="1">
        <f t="array" ref="Z337">_xlfn.IFS(AND(T337="y",$D337="Local"), 1, AND(T337="y",$D337&lt;&gt;"Local"),29.0043833288201%, T337="","")</f>
        <v>0.29004383328820099</v>
      </c>
      <c r="AA337" s="272" cm="1">
        <f t="array" ref="AA337">_xlfn.IFS(AND(U337="y",$D337="Local"), 1, AND(U337="y",$D337&lt;&gt;"Local"),18.3998538156536%, U337="","")</f>
        <v>0.183998538156536</v>
      </c>
      <c r="AB337" s="68">
        <f t="shared" si="57"/>
        <v>1.0000000000000004</v>
      </c>
      <c r="AD337" s="306">
        <f t="shared" si="58"/>
        <v>3996.4600262133854</v>
      </c>
      <c r="AE337" s="242">
        <f t="shared" si="59"/>
        <v>55667.214266139163</v>
      </c>
      <c r="AF337" s="242">
        <f t="shared" si="60"/>
        <v>81398.866469391302</v>
      </c>
      <c r="AG337" s="242">
        <f t="shared" si="61"/>
        <v>77790.144746632097</v>
      </c>
      <c r="AH337" s="352">
        <f t="shared" si="62"/>
        <v>49348.654491624067</v>
      </c>
    </row>
    <row r="338" spans="2:34">
      <c r="B338" s="166" t="s">
        <v>466</v>
      </c>
      <c r="C338" s="150"/>
      <c r="D338" s="150" t="s">
        <v>118</v>
      </c>
      <c r="E338" s="150" t="s">
        <v>141</v>
      </c>
      <c r="F338" s="150" t="s">
        <v>889</v>
      </c>
      <c r="G338" s="146"/>
      <c r="H338" s="155"/>
      <c r="I338" s="135">
        <f t="shared" si="63"/>
        <v>0</v>
      </c>
      <c r="J338" s="147"/>
      <c r="K338" s="155">
        <v>440.298352695522</v>
      </c>
      <c r="L338" s="88">
        <f t="shared" si="64"/>
        <v>745.53703867023012</v>
      </c>
      <c r="M338" s="160">
        <v>328258.73</v>
      </c>
      <c r="N338" s="167">
        <v>2016</v>
      </c>
      <c r="O338" s="167">
        <f>IFERROR(('General Input Sheet'!$G$38/(VLOOKUP(N338,'General Input Sheet'!$E$38:$G$44,3,FALSE))),1)</f>
        <v>1</v>
      </c>
      <c r="P338" s="189">
        <f t="shared" si="56"/>
        <v>328258.73</v>
      </c>
      <c r="Q338" s="89" t="str">
        <f t="shared" si="65"/>
        <v>y</v>
      </c>
      <c r="R338" s="89" t="str">
        <f t="shared" si="65"/>
        <v>y</v>
      </c>
      <c r="S338" s="89" t="str">
        <f t="shared" si="65"/>
        <v>y</v>
      </c>
      <c r="T338" s="89" t="str">
        <f t="shared" si="65"/>
        <v>y</v>
      </c>
      <c r="U338" s="254" t="str">
        <f t="shared" si="65"/>
        <v>y</v>
      </c>
      <c r="V338" s="308"/>
      <c r="W338" s="309" cm="1">
        <f t="array" ref="W338">_xlfn.IFS(AND(Q338="y",$D338="Local"), 1, AND(Q338="y",$D338&lt;&gt;"Local"),1.49009696454663%, Q338="","")</f>
        <v>1.49009696454663E-2</v>
      </c>
      <c r="X338" s="272" cm="1">
        <f t="array" ref="X338">_xlfn.IFS(AND(R338="y",$D338="Local"), 1, AND(R338="y",$D338&lt;&gt;"Local"),20.7557554582461%, R338="","")</f>
        <v>0.207557554582461</v>
      </c>
      <c r="Y338" s="272" cm="1">
        <f t="array" ref="Y338">_xlfn.IFS(AND(S338="y",$D338="Local"), 1, AND(S338="y",$D338&lt;&gt;"Local"),30.3499104327336%, S338="","")</f>
        <v>0.30349910432733601</v>
      </c>
      <c r="Z338" s="272" cm="1">
        <f t="array" ref="Z338">_xlfn.IFS(AND(T338="y",$D338="Local"), 1, AND(T338="y",$D338&lt;&gt;"Local"),29.0043833288201%, T338="","")</f>
        <v>0.29004383328820099</v>
      </c>
      <c r="AA338" s="272" cm="1">
        <f t="array" ref="AA338">_xlfn.IFS(AND(U338="y",$D338="Local"), 1, AND(U338="y",$D338&lt;&gt;"Local"),18.3998538156536%, U338="","")</f>
        <v>0.183998538156536</v>
      </c>
      <c r="AB338" s="68">
        <f t="shared" si="57"/>
        <v>1.0000000000000004</v>
      </c>
      <c r="AD338" s="306">
        <f t="shared" si="58"/>
        <v>4891.3733715893159</v>
      </c>
      <c r="AE338" s="242">
        <f t="shared" si="59"/>
        <v>68132.579269144291</v>
      </c>
      <c r="AF338" s="242">
        <f t="shared" si="60"/>
        <v>99626.230542628778</v>
      </c>
      <c r="AG338" s="242">
        <f t="shared" si="61"/>
        <v>95209.420359516545</v>
      </c>
      <c r="AH338" s="352">
        <f t="shared" si="62"/>
        <v>60399.126457121019</v>
      </c>
    </row>
    <row r="339" spans="2:34">
      <c r="B339" s="166" t="s">
        <v>467</v>
      </c>
      <c r="C339" s="150"/>
      <c r="D339" s="150" t="s">
        <v>118</v>
      </c>
      <c r="E339" s="150" t="s">
        <v>141</v>
      </c>
      <c r="F339" s="150" t="s">
        <v>890</v>
      </c>
      <c r="G339" s="146"/>
      <c r="H339" s="155"/>
      <c r="I339" s="135">
        <f t="shared" si="63"/>
        <v>0</v>
      </c>
      <c r="J339" s="147"/>
      <c r="K339" s="155">
        <v>531.08626868319698</v>
      </c>
      <c r="L339" s="88">
        <f t="shared" si="64"/>
        <v>505.00522384996401</v>
      </c>
      <c r="M339" s="160">
        <v>268201.34000000003</v>
      </c>
      <c r="N339" s="167">
        <v>2016</v>
      </c>
      <c r="O339" s="167">
        <f>IFERROR(('General Input Sheet'!$G$38/(VLOOKUP(N339,'General Input Sheet'!$E$38:$G$44,3,FALSE))),1)</f>
        <v>1</v>
      </c>
      <c r="P339" s="189">
        <f t="shared" si="56"/>
        <v>268201.34000000003</v>
      </c>
      <c r="Q339" s="89" t="str">
        <f t="shared" si="65"/>
        <v>y</v>
      </c>
      <c r="R339" s="89" t="str">
        <f t="shared" si="65"/>
        <v>y</v>
      </c>
      <c r="S339" s="89" t="str">
        <f t="shared" si="65"/>
        <v>y</v>
      </c>
      <c r="T339" s="89" t="str">
        <f t="shared" si="65"/>
        <v>y</v>
      </c>
      <c r="U339" s="254" t="str">
        <f t="shared" si="65"/>
        <v>y</v>
      </c>
      <c r="V339" s="308"/>
      <c r="W339" s="309" cm="1">
        <f t="array" ref="W339">_xlfn.IFS(AND(Q339="y",$D339="Local"), 1, AND(Q339="y",$D339&lt;&gt;"Local"),1.49009696454663%, Q339="","")</f>
        <v>1.49009696454663E-2</v>
      </c>
      <c r="X339" s="272" cm="1">
        <f t="array" ref="X339">_xlfn.IFS(AND(R339="y",$D339="Local"), 1, AND(R339="y",$D339&lt;&gt;"Local"),20.7557554582461%, R339="","")</f>
        <v>0.207557554582461</v>
      </c>
      <c r="Y339" s="272" cm="1">
        <f t="array" ref="Y339">_xlfn.IFS(AND(S339="y",$D339="Local"), 1, AND(S339="y",$D339&lt;&gt;"Local"),30.3499104327336%, S339="","")</f>
        <v>0.30349910432733601</v>
      </c>
      <c r="Z339" s="272" cm="1">
        <f t="array" ref="Z339">_xlfn.IFS(AND(T339="y",$D339="Local"), 1, AND(T339="y",$D339&lt;&gt;"Local"),29.0043833288201%, T339="","")</f>
        <v>0.29004383328820099</v>
      </c>
      <c r="AA339" s="272" cm="1">
        <f t="array" ref="AA339">_xlfn.IFS(AND(U339="y",$D339="Local"), 1, AND(U339="y",$D339&lt;&gt;"Local"),18.3998538156536%, U339="","")</f>
        <v>0.183998538156536</v>
      </c>
      <c r="AB339" s="68">
        <f t="shared" si="57"/>
        <v>1.0000000000000004</v>
      </c>
      <c r="AD339" s="306">
        <f t="shared" si="58"/>
        <v>3996.4600262133854</v>
      </c>
      <c r="AE339" s="242">
        <f t="shared" si="59"/>
        <v>55667.214266139163</v>
      </c>
      <c r="AF339" s="242">
        <f t="shared" si="60"/>
        <v>81398.866469391302</v>
      </c>
      <c r="AG339" s="242">
        <f t="shared" si="61"/>
        <v>77790.144746632097</v>
      </c>
      <c r="AH339" s="352">
        <f t="shared" si="62"/>
        <v>49348.654491624067</v>
      </c>
    </row>
    <row r="340" spans="2:34">
      <c r="B340" s="166" t="s">
        <v>468</v>
      </c>
      <c r="C340" s="150"/>
      <c r="D340" s="150" t="s">
        <v>116</v>
      </c>
      <c r="E340" s="150" t="s">
        <v>142</v>
      </c>
      <c r="F340" s="150" t="s">
        <v>891</v>
      </c>
      <c r="G340" s="146"/>
      <c r="H340" s="155"/>
      <c r="I340" s="135">
        <f t="shared" si="63"/>
        <v>0</v>
      </c>
      <c r="J340" s="147"/>
      <c r="K340" s="155">
        <v>299.28115693062301</v>
      </c>
      <c r="L340" s="88">
        <f t="shared" si="64"/>
        <v>176.54993900016399</v>
      </c>
      <c r="M340" s="160">
        <v>52838.07</v>
      </c>
      <c r="N340" s="167">
        <v>2016</v>
      </c>
      <c r="O340" s="167">
        <f>IFERROR(('General Input Sheet'!$G$38/(VLOOKUP(N340,'General Input Sheet'!$E$38:$G$44,3,FALSE))),1)</f>
        <v>1</v>
      </c>
      <c r="P340" s="189">
        <f t="shared" si="56"/>
        <v>52838.07</v>
      </c>
      <c r="Q340" s="89" t="str">
        <f t="shared" si="65"/>
        <v/>
      </c>
      <c r="R340" s="89" t="str">
        <f t="shared" si="65"/>
        <v/>
      </c>
      <c r="S340" s="89" t="str">
        <f t="shared" si="65"/>
        <v/>
      </c>
      <c r="T340" s="89" t="str">
        <f t="shared" si="65"/>
        <v>y</v>
      </c>
      <c r="U340" s="254" t="str">
        <f t="shared" si="65"/>
        <v/>
      </c>
      <c r="V340" s="308"/>
      <c r="W340" s="309" t="str" cm="1">
        <f t="array" ref="W340">_xlfn.IFS(AND(Q340="y",$D340="Local"), 1, AND(Q340="y",$D340&lt;&gt;"Local"),1.49009696454663%, Q340="","")</f>
        <v/>
      </c>
      <c r="X340" s="272" t="str" cm="1">
        <f t="array" ref="X340">_xlfn.IFS(AND(R340="y",$D340="Local"), 1, AND(R340="y",$D340&lt;&gt;"Local"),20.7557554582461%, R340="","")</f>
        <v/>
      </c>
      <c r="Y340" s="272" t="str" cm="1">
        <f t="array" ref="Y340">_xlfn.IFS(AND(S340="y",$D340="Local"), 1, AND(S340="y",$D340&lt;&gt;"Local"),30.3499104327336%, S340="","")</f>
        <v/>
      </c>
      <c r="Z340" s="272" cm="1">
        <f t="array" ref="Z340">_xlfn.IFS(AND(T340="y",$D340="Local"), 1, AND(T340="y",$D340&lt;&gt;"Local"),29.0043833288201%, T340="","")</f>
        <v>1</v>
      </c>
      <c r="AA340" s="272" t="str" cm="1">
        <f t="array" ref="AA340">_xlfn.IFS(AND(U340="y",$D340="Local"), 1, AND(U340="y",$D340&lt;&gt;"Local"),18.3998538156536%, U340="","")</f>
        <v/>
      </c>
      <c r="AB340" s="68">
        <f t="shared" si="57"/>
        <v>1</v>
      </c>
      <c r="AD340" s="306" t="str">
        <f t="shared" si="58"/>
        <v/>
      </c>
      <c r="AE340" s="242" t="str">
        <f t="shared" si="59"/>
        <v/>
      </c>
      <c r="AF340" s="242" t="str">
        <f t="shared" si="60"/>
        <v/>
      </c>
      <c r="AG340" s="242">
        <f t="shared" si="61"/>
        <v>52838.07</v>
      </c>
      <c r="AH340" s="352" t="str">
        <f t="shared" si="62"/>
        <v/>
      </c>
    </row>
    <row r="341" spans="2:34">
      <c r="B341" s="166" t="s">
        <v>469</v>
      </c>
      <c r="C341" s="150"/>
      <c r="D341" s="150" t="s">
        <v>118</v>
      </c>
      <c r="E341" s="150" t="s">
        <v>141</v>
      </c>
      <c r="F341" s="150" t="s">
        <v>892</v>
      </c>
      <c r="G341" s="146"/>
      <c r="H341" s="155"/>
      <c r="I341" s="135">
        <f t="shared" si="63"/>
        <v>0</v>
      </c>
      <c r="J341" s="147"/>
      <c r="K341" s="155">
        <v>531.13371248974101</v>
      </c>
      <c r="L341" s="88">
        <f t="shared" si="64"/>
        <v>504.9601139848196</v>
      </c>
      <c r="M341" s="160">
        <v>268201.34000000003</v>
      </c>
      <c r="N341" s="167">
        <v>2016</v>
      </c>
      <c r="O341" s="167">
        <f>IFERROR(('General Input Sheet'!$G$38/(VLOOKUP(N341,'General Input Sheet'!$E$38:$G$44,3,FALSE))),1)</f>
        <v>1</v>
      </c>
      <c r="P341" s="189">
        <f t="shared" si="56"/>
        <v>268201.34000000003</v>
      </c>
      <c r="Q341" s="89" t="str">
        <f t="shared" si="65"/>
        <v>y</v>
      </c>
      <c r="R341" s="89" t="str">
        <f t="shared" si="65"/>
        <v>y</v>
      </c>
      <c r="S341" s="89" t="str">
        <f t="shared" si="65"/>
        <v>y</v>
      </c>
      <c r="T341" s="89" t="str">
        <f t="shared" si="65"/>
        <v>y</v>
      </c>
      <c r="U341" s="254" t="str">
        <f t="shared" si="65"/>
        <v>y</v>
      </c>
      <c r="V341" s="308"/>
      <c r="W341" s="309" cm="1">
        <f t="array" ref="W341">_xlfn.IFS(AND(Q341="y",$D341="Local"), 1, AND(Q341="y",$D341&lt;&gt;"Local"),1.49009696454663%, Q341="","")</f>
        <v>1.49009696454663E-2</v>
      </c>
      <c r="X341" s="272" cm="1">
        <f t="array" ref="X341">_xlfn.IFS(AND(R341="y",$D341="Local"), 1, AND(R341="y",$D341&lt;&gt;"Local"),20.7557554582461%, R341="","")</f>
        <v>0.207557554582461</v>
      </c>
      <c r="Y341" s="272" cm="1">
        <f t="array" ref="Y341">_xlfn.IFS(AND(S341="y",$D341="Local"), 1, AND(S341="y",$D341&lt;&gt;"Local"),30.3499104327336%, S341="","")</f>
        <v>0.30349910432733601</v>
      </c>
      <c r="Z341" s="272" cm="1">
        <f t="array" ref="Z341">_xlfn.IFS(AND(T341="y",$D341="Local"), 1, AND(T341="y",$D341&lt;&gt;"Local"),29.0043833288201%, T341="","")</f>
        <v>0.29004383328820099</v>
      </c>
      <c r="AA341" s="272" cm="1">
        <f t="array" ref="AA341">_xlfn.IFS(AND(U341="y",$D341="Local"), 1, AND(U341="y",$D341&lt;&gt;"Local"),18.3998538156536%, U341="","")</f>
        <v>0.183998538156536</v>
      </c>
      <c r="AB341" s="68">
        <f t="shared" si="57"/>
        <v>1.0000000000000004</v>
      </c>
      <c r="AD341" s="306">
        <f t="shared" si="58"/>
        <v>3996.4600262133854</v>
      </c>
      <c r="AE341" s="242">
        <f t="shared" si="59"/>
        <v>55667.214266139163</v>
      </c>
      <c r="AF341" s="242">
        <f t="shared" si="60"/>
        <v>81398.866469391302</v>
      </c>
      <c r="AG341" s="242">
        <f t="shared" si="61"/>
        <v>77790.144746632097</v>
      </c>
      <c r="AH341" s="352">
        <f t="shared" si="62"/>
        <v>49348.654491624067</v>
      </c>
    </row>
    <row r="342" spans="2:34">
      <c r="B342" s="166" t="s">
        <v>470</v>
      </c>
      <c r="C342" s="150"/>
      <c r="D342" s="150" t="s">
        <v>116</v>
      </c>
      <c r="E342" s="150" t="s">
        <v>142</v>
      </c>
      <c r="F342" s="150" t="s">
        <v>893</v>
      </c>
      <c r="G342" s="146"/>
      <c r="H342" s="155"/>
      <c r="I342" s="135">
        <f t="shared" si="63"/>
        <v>0</v>
      </c>
      <c r="J342" s="147"/>
      <c r="K342" s="155">
        <v>299.23718116174803</v>
      </c>
      <c r="L342" s="88">
        <f t="shared" si="64"/>
        <v>176.72198954252136</v>
      </c>
      <c r="M342" s="160">
        <v>52881.79</v>
      </c>
      <c r="N342" s="167">
        <v>2016</v>
      </c>
      <c r="O342" s="167">
        <f>IFERROR(('General Input Sheet'!$G$38/(VLOOKUP(N342,'General Input Sheet'!$E$38:$G$44,3,FALSE))),1)</f>
        <v>1</v>
      </c>
      <c r="P342" s="189">
        <f t="shared" si="56"/>
        <v>52881.79</v>
      </c>
      <c r="Q342" s="89" t="str">
        <f t="shared" si="65"/>
        <v/>
      </c>
      <c r="R342" s="89" t="str">
        <f t="shared" si="65"/>
        <v/>
      </c>
      <c r="S342" s="89" t="str">
        <f t="shared" si="65"/>
        <v/>
      </c>
      <c r="T342" s="89" t="str">
        <f t="shared" si="65"/>
        <v>y</v>
      </c>
      <c r="U342" s="254" t="str">
        <f t="shared" si="65"/>
        <v/>
      </c>
      <c r="V342" s="308"/>
      <c r="W342" s="309" t="str" cm="1">
        <f t="array" ref="W342">_xlfn.IFS(AND(Q342="y",$D342="Local"), 1, AND(Q342="y",$D342&lt;&gt;"Local"),1.49009696454663%, Q342="","")</f>
        <v/>
      </c>
      <c r="X342" s="272" t="str" cm="1">
        <f t="array" ref="X342">_xlfn.IFS(AND(R342="y",$D342="Local"), 1, AND(R342="y",$D342&lt;&gt;"Local"),20.7557554582461%, R342="","")</f>
        <v/>
      </c>
      <c r="Y342" s="272" t="str" cm="1">
        <f t="array" ref="Y342">_xlfn.IFS(AND(S342="y",$D342="Local"), 1, AND(S342="y",$D342&lt;&gt;"Local"),30.3499104327336%, S342="","")</f>
        <v/>
      </c>
      <c r="Z342" s="272" cm="1">
        <f t="array" ref="Z342">_xlfn.IFS(AND(T342="y",$D342="Local"), 1, AND(T342="y",$D342&lt;&gt;"Local"),29.0043833288201%, T342="","")</f>
        <v>1</v>
      </c>
      <c r="AA342" s="272" t="str" cm="1">
        <f t="array" ref="AA342">_xlfn.IFS(AND(U342="y",$D342="Local"), 1, AND(U342="y",$D342&lt;&gt;"Local"),18.3998538156536%, U342="","")</f>
        <v/>
      </c>
      <c r="AB342" s="68">
        <f t="shared" si="57"/>
        <v>1</v>
      </c>
      <c r="AD342" s="306" t="str">
        <f t="shared" si="58"/>
        <v/>
      </c>
      <c r="AE342" s="242" t="str">
        <f t="shared" si="59"/>
        <v/>
      </c>
      <c r="AF342" s="242" t="str">
        <f t="shared" si="60"/>
        <v/>
      </c>
      <c r="AG342" s="242">
        <f t="shared" si="61"/>
        <v>52881.79</v>
      </c>
      <c r="AH342" s="352" t="str">
        <f t="shared" si="62"/>
        <v/>
      </c>
    </row>
    <row r="343" spans="2:34">
      <c r="B343" s="166" t="s">
        <v>471</v>
      </c>
      <c r="C343" s="150"/>
      <c r="D343" s="150" t="s">
        <v>116</v>
      </c>
      <c r="E343" s="150" t="s">
        <v>142</v>
      </c>
      <c r="F343" s="150" t="s">
        <v>894</v>
      </c>
      <c r="G343" s="146"/>
      <c r="H343" s="155"/>
      <c r="I343" s="135">
        <f t="shared" si="63"/>
        <v>0</v>
      </c>
      <c r="J343" s="147"/>
      <c r="K343" s="155">
        <v>634.09121516079097</v>
      </c>
      <c r="L343" s="88">
        <f t="shared" si="64"/>
        <v>62.502411407718654</v>
      </c>
      <c r="M343" s="160">
        <v>39632.230000000003</v>
      </c>
      <c r="N343" s="167">
        <v>2016</v>
      </c>
      <c r="O343" s="167">
        <f>IFERROR(('General Input Sheet'!$G$38/(VLOOKUP(N343,'General Input Sheet'!$E$38:$G$44,3,FALSE))),1)</f>
        <v>1</v>
      </c>
      <c r="P343" s="189">
        <f t="shared" si="56"/>
        <v>39632.230000000003</v>
      </c>
      <c r="Q343" s="89" t="str">
        <f t="shared" si="65"/>
        <v/>
      </c>
      <c r="R343" s="89" t="str">
        <f t="shared" si="65"/>
        <v/>
      </c>
      <c r="S343" s="89" t="str">
        <f t="shared" si="65"/>
        <v/>
      </c>
      <c r="T343" s="89" t="str">
        <f t="shared" si="65"/>
        <v>y</v>
      </c>
      <c r="U343" s="254" t="str">
        <f t="shared" si="65"/>
        <v/>
      </c>
      <c r="V343" s="308"/>
      <c r="W343" s="309" t="str" cm="1">
        <f t="array" ref="W343">_xlfn.IFS(AND(Q343="y",$D343="Local"), 1, AND(Q343="y",$D343&lt;&gt;"Local"),1.49009696454663%, Q343="","")</f>
        <v/>
      </c>
      <c r="X343" s="272" t="str" cm="1">
        <f t="array" ref="X343">_xlfn.IFS(AND(R343="y",$D343="Local"), 1, AND(R343="y",$D343&lt;&gt;"Local"),20.7557554582461%, R343="","")</f>
        <v/>
      </c>
      <c r="Y343" s="272" t="str" cm="1">
        <f t="array" ref="Y343">_xlfn.IFS(AND(S343="y",$D343="Local"), 1, AND(S343="y",$D343&lt;&gt;"Local"),30.3499104327336%, S343="","")</f>
        <v/>
      </c>
      <c r="Z343" s="272" cm="1">
        <f t="array" ref="Z343">_xlfn.IFS(AND(T343="y",$D343="Local"), 1, AND(T343="y",$D343&lt;&gt;"Local"),29.0043833288201%, T343="","")</f>
        <v>1</v>
      </c>
      <c r="AA343" s="272" t="str" cm="1">
        <f t="array" ref="AA343">_xlfn.IFS(AND(U343="y",$D343="Local"), 1, AND(U343="y",$D343&lt;&gt;"Local"),18.3998538156536%, U343="","")</f>
        <v/>
      </c>
      <c r="AB343" s="68">
        <f t="shared" si="57"/>
        <v>1</v>
      </c>
      <c r="AD343" s="306" t="str">
        <f t="shared" si="58"/>
        <v/>
      </c>
      <c r="AE343" s="242" t="str">
        <f t="shared" si="59"/>
        <v/>
      </c>
      <c r="AF343" s="242" t="str">
        <f t="shared" si="60"/>
        <v/>
      </c>
      <c r="AG343" s="242">
        <f t="shared" si="61"/>
        <v>39632.230000000003</v>
      </c>
      <c r="AH343" s="352" t="str">
        <f t="shared" si="62"/>
        <v/>
      </c>
    </row>
    <row r="344" spans="2:34">
      <c r="B344" s="166" t="s">
        <v>472</v>
      </c>
      <c r="C344" s="150"/>
      <c r="D344" s="150" t="s">
        <v>118</v>
      </c>
      <c r="E344" s="150" t="s">
        <v>142</v>
      </c>
      <c r="F344" s="150" t="s">
        <v>895</v>
      </c>
      <c r="G344" s="146"/>
      <c r="H344" s="155"/>
      <c r="I344" s="135">
        <f t="shared" si="63"/>
        <v>0</v>
      </c>
      <c r="J344" s="147"/>
      <c r="K344" s="155">
        <v>744.27248224960601</v>
      </c>
      <c r="L344" s="88">
        <f t="shared" si="64"/>
        <v>77.032835913409656</v>
      </c>
      <c r="M344" s="160">
        <v>57333.42</v>
      </c>
      <c r="N344" s="167">
        <v>2016</v>
      </c>
      <c r="O344" s="167">
        <f>IFERROR(('General Input Sheet'!$G$38/(VLOOKUP(N344,'General Input Sheet'!$E$38:$G$44,3,FALSE))),1)</f>
        <v>1</v>
      </c>
      <c r="P344" s="189">
        <f t="shared" si="56"/>
        <v>57333.42</v>
      </c>
      <c r="Q344" s="89" t="str">
        <f t="shared" si="65"/>
        <v>y</v>
      </c>
      <c r="R344" s="89" t="str">
        <f t="shared" si="65"/>
        <v>y</v>
      </c>
      <c r="S344" s="89" t="str">
        <f t="shared" si="65"/>
        <v>y</v>
      </c>
      <c r="T344" s="89" t="str">
        <f t="shared" si="65"/>
        <v>y</v>
      </c>
      <c r="U344" s="254" t="str">
        <f t="shared" si="65"/>
        <v>y</v>
      </c>
      <c r="V344" s="308"/>
      <c r="W344" s="309" cm="1">
        <f t="array" ref="W344">_xlfn.IFS(AND(Q344="y",$D344="Local"), 1, AND(Q344="y",$D344&lt;&gt;"Local"),1.49009696454663%, Q344="","")</f>
        <v>1.49009696454663E-2</v>
      </c>
      <c r="X344" s="272" cm="1">
        <f t="array" ref="X344">_xlfn.IFS(AND(R344="y",$D344="Local"), 1, AND(R344="y",$D344&lt;&gt;"Local"),20.7557554582461%, R344="","")</f>
        <v>0.207557554582461</v>
      </c>
      <c r="Y344" s="272" cm="1">
        <f t="array" ref="Y344">_xlfn.IFS(AND(S344="y",$D344="Local"), 1, AND(S344="y",$D344&lt;&gt;"Local"),30.3499104327336%, S344="","")</f>
        <v>0.30349910432733601</v>
      </c>
      <c r="Z344" s="272" cm="1">
        <f t="array" ref="Z344">_xlfn.IFS(AND(T344="y",$D344="Local"), 1, AND(T344="y",$D344&lt;&gt;"Local"),29.0043833288201%, T344="","")</f>
        <v>0.29004383328820099</v>
      </c>
      <c r="AA344" s="272" cm="1">
        <f t="array" ref="AA344">_xlfn.IFS(AND(U344="y",$D344="Local"), 1, AND(U344="y",$D344&lt;&gt;"Local"),18.3998538156536%, U344="","")</f>
        <v>0.183998538156536</v>
      </c>
      <c r="AB344" s="68">
        <f t="shared" si="57"/>
        <v>1.0000000000000004</v>
      </c>
      <c r="AD344" s="306">
        <f t="shared" si="58"/>
        <v>854.32355109077002</v>
      </c>
      <c r="AE344" s="242">
        <f t="shared" si="59"/>
        <v>11899.984451049157</v>
      </c>
      <c r="AF344" s="242">
        <f t="shared" si="60"/>
        <v>17400.641618022964</v>
      </c>
      <c r="AG344" s="242">
        <f t="shared" si="61"/>
        <v>16629.204912322402</v>
      </c>
      <c r="AH344" s="352">
        <f t="shared" si="62"/>
        <v>10549.265467514699</v>
      </c>
    </row>
    <row r="345" spans="2:34">
      <c r="B345" s="166" t="s">
        <v>473</v>
      </c>
      <c r="C345" s="150"/>
      <c r="D345" s="150" t="s">
        <v>116</v>
      </c>
      <c r="E345" s="150" t="s">
        <v>141</v>
      </c>
      <c r="F345" s="150" t="s">
        <v>896</v>
      </c>
      <c r="G345" s="146"/>
      <c r="H345" s="155"/>
      <c r="I345" s="135">
        <f t="shared" si="63"/>
        <v>0</v>
      </c>
      <c r="J345" s="147"/>
      <c r="K345" s="155">
        <v>772.41175703877195</v>
      </c>
      <c r="L345" s="88">
        <f t="shared" si="64"/>
        <v>276.55700221206934</v>
      </c>
      <c r="M345" s="160">
        <v>213615.88</v>
      </c>
      <c r="N345" s="167">
        <v>2016</v>
      </c>
      <c r="O345" s="167">
        <f>IFERROR(('General Input Sheet'!$G$38/(VLOOKUP(N345,'General Input Sheet'!$E$38:$G$44,3,FALSE))),1)</f>
        <v>1</v>
      </c>
      <c r="P345" s="189">
        <f t="shared" si="56"/>
        <v>213615.88</v>
      </c>
      <c r="Q345" s="89" t="str">
        <f t="shared" si="65"/>
        <v/>
      </c>
      <c r="R345" s="89" t="str">
        <f t="shared" si="65"/>
        <v/>
      </c>
      <c r="S345" s="89" t="str">
        <f t="shared" si="65"/>
        <v>y</v>
      </c>
      <c r="T345" s="89" t="str">
        <f t="shared" si="65"/>
        <v/>
      </c>
      <c r="U345" s="254" t="str">
        <f t="shared" si="65"/>
        <v/>
      </c>
      <c r="V345" s="308"/>
      <c r="W345" s="309" t="str" cm="1">
        <f t="array" ref="W345">_xlfn.IFS(AND(Q345="y",$D345="Local"), 1, AND(Q345="y",$D345&lt;&gt;"Local"),1.49009696454663%, Q345="","")</f>
        <v/>
      </c>
      <c r="X345" s="272" t="str" cm="1">
        <f t="array" ref="X345">_xlfn.IFS(AND(R345="y",$D345="Local"), 1, AND(R345="y",$D345&lt;&gt;"Local"),20.7557554582461%, R345="","")</f>
        <v/>
      </c>
      <c r="Y345" s="272" cm="1">
        <f t="array" ref="Y345">_xlfn.IFS(AND(S345="y",$D345="Local"), 1, AND(S345="y",$D345&lt;&gt;"Local"),30.3499104327336%, S345="","")</f>
        <v>1</v>
      </c>
      <c r="Z345" s="272" t="str" cm="1">
        <f t="array" ref="Z345">_xlfn.IFS(AND(T345="y",$D345="Local"), 1, AND(T345="y",$D345&lt;&gt;"Local"),29.0043833288201%, T345="","")</f>
        <v/>
      </c>
      <c r="AA345" s="272" t="str" cm="1">
        <f t="array" ref="AA345">_xlfn.IFS(AND(U345="y",$D345="Local"), 1, AND(U345="y",$D345&lt;&gt;"Local"),18.3998538156536%, U345="","")</f>
        <v/>
      </c>
      <c r="AB345" s="68">
        <f t="shared" si="57"/>
        <v>1</v>
      </c>
      <c r="AD345" s="306" t="str">
        <f t="shared" si="58"/>
        <v/>
      </c>
      <c r="AE345" s="242" t="str">
        <f t="shared" si="59"/>
        <v/>
      </c>
      <c r="AF345" s="242">
        <f t="shared" si="60"/>
        <v>213615.88</v>
      </c>
      <c r="AG345" s="242" t="str">
        <f t="shared" si="61"/>
        <v/>
      </c>
      <c r="AH345" s="352" t="str">
        <f t="shared" si="62"/>
        <v/>
      </c>
    </row>
    <row r="346" spans="2:34">
      <c r="B346" s="166" t="s">
        <v>474</v>
      </c>
      <c r="C346" s="150"/>
      <c r="D346" s="150" t="s">
        <v>117</v>
      </c>
      <c r="E346" s="150" t="s">
        <v>141</v>
      </c>
      <c r="F346" s="150" t="s">
        <v>897</v>
      </c>
      <c r="G346" s="146"/>
      <c r="H346" s="155"/>
      <c r="I346" s="135">
        <f t="shared" si="63"/>
        <v>0</v>
      </c>
      <c r="J346" s="147"/>
      <c r="K346" s="155">
        <v>279.01656469085799</v>
      </c>
      <c r="L346" s="88">
        <f t="shared" si="64"/>
        <v>358.68838149765639</v>
      </c>
      <c r="M346" s="160">
        <v>100080</v>
      </c>
      <c r="N346" s="167">
        <v>2016</v>
      </c>
      <c r="O346" s="167">
        <f>IFERROR(('General Input Sheet'!$G$38/(VLOOKUP(N346,'General Input Sheet'!$E$38:$G$44,3,FALSE))),1)</f>
        <v>1</v>
      </c>
      <c r="P346" s="189">
        <f t="shared" si="56"/>
        <v>100080</v>
      </c>
      <c r="Q346" s="89" t="str">
        <f t="shared" si="65"/>
        <v>y</v>
      </c>
      <c r="R346" s="89" t="str">
        <f t="shared" si="65"/>
        <v>y</v>
      </c>
      <c r="S346" s="89" t="str">
        <f t="shared" si="65"/>
        <v>y</v>
      </c>
      <c r="T346" s="89" t="str">
        <f t="shared" si="65"/>
        <v>y</v>
      </c>
      <c r="U346" s="254" t="str">
        <f t="shared" si="65"/>
        <v>y</v>
      </c>
      <c r="V346" s="308"/>
      <c r="W346" s="309" cm="1">
        <f t="array" ref="W346">_xlfn.IFS(AND(Q346="y",$D346="Local"), 1, AND(Q346="y",$D346&lt;&gt;"Local"),1.49009696454663%, Q346="","")</f>
        <v>1.49009696454663E-2</v>
      </c>
      <c r="X346" s="272" cm="1">
        <f t="array" ref="X346">_xlfn.IFS(AND(R346="y",$D346="Local"), 1, AND(R346="y",$D346&lt;&gt;"Local"),20.7557554582461%, R346="","")</f>
        <v>0.207557554582461</v>
      </c>
      <c r="Y346" s="272" cm="1">
        <f t="array" ref="Y346">_xlfn.IFS(AND(S346="y",$D346="Local"), 1, AND(S346="y",$D346&lt;&gt;"Local"),30.3499104327336%, S346="","")</f>
        <v>0.30349910432733601</v>
      </c>
      <c r="Z346" s="272" cm="1">
        <f t="array" ref="Z346">_xlfn.IFS(AND(T346="y",$D346="Local"), 1, AND(T346="y",$D346&lt;&gt;"Local"),29.0043833288201%, T346="","")</f>
        <v>0.29004383328820099</v>
      </c>
      <c r="AA346" s="272" cm="1">
        <f t="array" ref="AA346">_xlfn.IFS(AND(U346="y",$D346="Local"), 1, AND(U346="y",$D346&lt;&gt;"Local"),18.3998538156536%, U346="","")</f>
        <v>0.183998538156536</v>
      </c>
      <c r="AB346" s="68">
        <f t="shared" si="57"/>
        <v>1.0000000000000004</v>
      </c>
      <c r="AD346" s="306">
        <f t="shared" si="58"/>
        <v>1491.2890421182667</v>
      </c>
      <c r="AE346" s="242">
        <f t="shared" si="59"/>
        <v>20772.36006261269</v>
      </c>
      <c r="AF346" s="242">
        <f t="shared" si="60"/>
        <v>30374.190361079778</v>
      </c>
      <c r="AG346" s="242">
        <f t="shared" si="61"/>
        <v>29027.586835483144</v>
      </c>
      <c r="AH346" s="352">
        <f t="shared" si="62"/>
        <v>18414.573698706114</v>
      </c>
    </row>
    <row r="347" spans="2:34">
      <c r="B347" s="166" t="s">
        <v>475</v>
      </c>
      <c r="C347" s="150"/>
      <c r="D347" s="150" t="s">
        <v>117</v>
      </c>
      <c r="E347" s="150" t="s">
        <v>141</v>
      </c>
      <c r="F347" s="150" t="s">
        <v>898</v>
      </c>
      <c r="G347" s="146"/>
      <c r="H347" s="155"/>
      <c r="I347" s="135">
        <f t="shared" si="63"/>
        <v>0</v>
      </c>
      <c r="J347" s="147"/>
      <c r="K347" s="155">
        <v>617.57907958559997</v>
      </c>
      <c r="L347" s="88">
        <f t="shared" si="64"/>
        <v>301.12793024787601</v>
      </c>
      <c r="M347" s="160">
        <v>185970.31</v>
      </c>
      <c r="N347" s="167">
        <v>2016</v>
      </c>
      <c r="O347" s="167">
        <f>IFERROR(('General Input Sheet'!$G$38/(VLOOKUP(N347,'General Input Sheet'!$E$38:$G$44,3,FALSE))),1)</f>
        <v>1</v>
      </c>
      <c r="P347" s="189">
        <f t="shared" si="56"/>
        <v>185970.31</v>
      </c>
      <c r="Q347" s="89" t="str">
        <f t="shared" si="65"/>
        <v>y</v>
      </c>
      <c r="R347" s="89" t="str">
        <f t="shared" si="65"/>
        <v>y</v>
      </c>
      <c r="S347" s="89" t="str">
        <f t="shared" si="65"/>
        <v>y</v>
      </c>
      <c r="T347" s="89" t="str">
        <f t="shared" si="65"/>
        <v>y</v>
      </c>
      <c r="U347" s="254" t="str">
        <f t="shared" si="65"/>
        <v>y</v>
      </c>
      <c r="V347" s="308"/>
      <c r="W347" s="309" cm="1">
        <f t="array" ref="W347">_xlfn.IFS(AND(Q347="y",$D347="Local"), 1, AND(Q347="y",$D347&lt;&gt;"Local"),1.49009696454663%, Q347="","")</f>
        <v>1.49009696454663E-2</v>
      </c>
      <c r="X347" s="272" cm="1">
        <f t="array" ref="X347">_xlfn.IFS(AND(R347="y",$D347="Local"), 1, AND(R347="y",$D347&lt;&gt;"Local"),20.7557554582461%, R347="","")</f>
        <v>0.207557554582461</v>
      </c>
      <c r="Y347" s="272" cm="1">
        <f t="array" ref="Y347">_xlfn.IFS(AND(S347="y",$D347="Local"), 1, AND(S347="y",$D347&lt;&gt;"Local"),30.3499104327336%, S347="","")</f>
        <v>0.30349910432733601</v>
      </c>
      <c r="Z347" s="272" cm="1">
        <f t="array" ref="Z347">_xlfn.IFS(AND(T347="y",$D347="Local"), 1, AND(T347="y",$D347&lt;&gt;"Local"),29.0043833288201%, T347="","")</f>
        <v>0.29004383328820099</v>
      </c>
      <c r="AA347" s="272" cm="1">
        <f t="array" ref="AA347">_xlfn.IFS(AND(U347="y",$D347="Local"), 1, AND(U347="y",$D347&lt;&gt;"Local"),18.3998538156536%, U347="","")</f>
        <v>0.183998538156536</v>
      </c>
      <c r="AB347" s="68">
        <f t="shared" si="57"/>
        <v>1.0000000000000004</v>
      </c>
      <c r="AD347" s="306">
        <f t="shared" si="58"/>
        <v>2771.1379442679568</v>
      </c>
      <c r="AE347" s="242">
        <f t="shared" si="59"/>
        <v>38599.542768542175</v>
      </c>
      <c r="AF347" s="242">
        <f t="shared" si="60"/>
        <v>56441.822516476997</v>
      </c>
      <c r="AG347" s="242">
        <f t="shared" si="61"/>
        <v>53939.54159019504</v>
      </c>
      <c r="AH347" s="352">
        <f t="shared" si="62"/>
        <v>34218.26518051781</v>
      </c>
    </row>
    <row r="348" spans="2:34">
      <c r="B348" s="166" t="s">
        <v>476</v>
      </c>
      <c r="C348" s="150"/>
      <c r="D348" s="150" t="s">
        <v>116</v>
      </c>
      <c r="E348" s="150" t="s">
        <v>143</v>
      </c>
      <c r="F348" s="150" t="s">
        <v>899</v>
      </c>
      <c r="G348" s="146">
        <v>56000</v>
      </c>
      <c r="H348" s="155">
        <v>3781</v>
      </c>
      <c r="I348" s="135">
        <f t="shared" si="63"/>
        <v>45</v>
      </c>
      <c r="J348" s="147">
        <v>226145</v>
      </c>
      <c r="K348" s="155">
        <v>928.68393813178204</v>
      </c>
      <c r="L348" s="88">
        <f t="shared" si="64"/>
        <v>198.25120521668163</v>
      </c>
      <c r="M348" s="160">
        <v>184112.71</v>
      </c>
      <c r="N348" s="167">
        <v>2016</v>
      </c>
      <c r="O348" s="167">
        <f>IFERROR(('General Input Sheet'!$G$38/(VLOOKUP(N348,'General Input Sheet'!$E$38:$G$44,3,FALSE))),1)</f>
        <v>1</v>
      </c>
      <c r="P348" s="186">
        <f t="shared" si="56"/>
        <v>410257.70999999996</v>
      </c>
      <c r="Q348" s="89" t="str">
        <f t="shared" si="65"/>
        <v/>
      </c>
      <c r="R348" s="89" t="str">
        <f t="shared" si="65"/>
        <v/>
      </c>
      <c r="S348" s="89" t="str">
        <f t="shared" si="65"/>
        <v/>
      </c>
      <c r="T348" s="89" t="str">
        <f t="shared" si="65"/>
        <v/>
      </c>
      <c r="U348" s="254" t="str">
        <f t="shared" si="65"/>
        <v>y</v>
      </c>
      <c r="V348" s="308"/>
      <c r="W348" s="309" t="str" cm="1">
        <f t="array" ref="W348">_xlfn.IFS(AND(Q348="y",$D348="Local"), 1, AND(Q348="y",$D348&lt;&gt;"Local"),1.49009696454663%, Q348="","")</f>
        <v/>
      </c>
      <c r="X348" s="272" t="str" cm="1">
        <f t="array" ref="X348">_xlfn.IFS(AND(R348="y",$D348="Local"), 1, AND(R348="y",$D348&lt;&gt;"Local"),20.7557554582461%, R348="","")</f>
        <v/>
      </c>
      <c r="Y348" s="272" t="str" cm="1">
        <f t="array" ref="Y348">_xlfn.IFS(AND(S348="y",$D348="Local"), 1, AND(S348="y",$D348&lt;&gt;"Local"),30.3499104327336%, S348="","")</f>
        <v/>
      </c>
      <c r="Z348" s="272" t="str" cm="1">
        <f t="array" ref="Z348">_xlfn.IFS(AND(T348="y",$D348="Local"), 1, AND(T348="y",$D348&lt;&gt;"Local"),29.0043833288201%, T348="","")</f>
        <v/>
      </c>
      <c r="AA348" s="272" cm="1">
        <f t="array" ref="AA348">_xlfn.IFS(AND(U348="y",$D348="Local"), 1, AND(U348="y",$D348&lt;&gt;"Local"),18.3998538156536%, U348="","")</f>
        <v>1</v>
      </c>
      <c r="AB348" s="68">
        <f t="shared" si="57"/>
        <v>1</v>
      </c>
      <c r="AD348" s="306" t="str">
        <f t="shared" si="58"/>
        <v/>
      </c>
      <c r="AE348" s="242" t="str">
        <f t="shared" si="59"/>
        <v/>
      </c>
      <c r="AF348" s="242" t="str">
        <f t="shared" si="60"/>
        <v/>
      </c>
      <c r="AG348" s="242" t="str">
        <f t="shared" si="61"/>
        <v/>
      </c>
      <c r="AH348" s="352">
        <f t="shared" si="62"/>
        <v>410257.70999999996</v>
      </c>
    </row>
    <row r="349" spans="2:34">
      <c r="B349" s="166" t="s">
        <v>477</v>
      </c>
      <c r="C349" s="150"/>
      <c r="D349" s="150" t="s">
        <v>116</v>
      </c>
      <c r="E349" s="150" t="s">
        <v>140</v>
      </c>
      <c r="F349" s="150" t="s">
        <v>900</v>
      </c>
      <c r="G349" s="146"/>
      <c r="H349" s="155"/>
      <c r="I349" s="135">
        <f t="shared" si="63"/>
        <v>0</v>
      </c>
      <c r="J349" s="147"/>
      <c r="K349" s="155">
        <v>888.76407969119202</v>
      </c>
      <c r="L349" s="88">
        <f t="shared" si="64"/>
        <v>192.28002560519502</v>
      </c>
      <c r="M349" s="160">
        <v>170891.58</v>
      </c>
      <c r="N349" s="167">
        <v>2016</v>
      </c>
      <c r="O349" s="167">
        <f>IFERROR(('General Input Sheet'!$G$38/(VLOOKUP(N349,'General Input Sheet'!$E$38:$G$44,3,FALSE))),1)</f>
        <v>1</v>
      </c>
      <c r="P349" s="189">
        <f t="shared" si="56"/>
        <v>170891.58</v>
      </c>
      <c r="Q349" s="89" t="str">
        <f t="shared" si="65"/>
        <v/>
      </c>
      <c r="R349" s="89" t="str">
        <f t="shared" si="65"/>
        <v>y</v>
      </c>
      <c r="S349" s="89" t="str">
        <f t="shared" si="65"/>
        <v/>
      </c>
      <c r="T349" s="89" t="str">
        <f t="shared" si="65"/>
        <v/>
      </c>
      <c r="U349" s="254" t="str">
        <f t="shared" si="65"/>
        <v/>
      </c>
      <c r="V349" s="308"/>
      <c r="W349" s="309" t="str" cm="1">
        <f t="array" ref="W349">_xlfn.IFS(AND(Q349="y",$D349="Local"), 1, AND(Q349="y",$D349&lt;&gt;"Local"),1.49009696454663%, Q349="","")</f>
        <v/>
      </c>
      <c r="X349" s="272" cm="1">
        <f t="array" ref="X349">_xlfn.IFS(AND(R349="y",$D349="Local"), 1, AND(R349="y",$D349&lt;&gt;"Local"),20.7557554582461%, R349="","")</f>
        <v>1</v>
      </c>
      <c r="Y349" s="272" t="str" cm="1">
        <f t="array" ref="Y349">_xlfn.IFS(AND(S349="y",$D349="Local"), 1, AND(S349="y",$D349&lt;&gt;"Local"),30.3499104327336%, S349="","")</f>
        <v/>
      </c>
      <c r="Z349" s="272" t="str" cm="1">
        <f t="array" ref="Z349">_xlfn.IFS(AND(T349="y",$D349="Local"), 1, AND(T349="y",$D349&lt;&gt;"Local"),29.0043833288201%, T349="","")</f>
        <v/>
      </c>
      <c r="AA349" s="272" t="str" cm="1">
        <f t="array" ref="AA349">_xlfn.IFS(AND(U349="y",$D349="Local"), 1, AND(U349="y",$D349&lt;&gt;"Local"),18.3998538156536%, U349="","")</f>
        <v/>
      </c>
      <c r="AB349" s="68">
        <f t="shared" si="57"/>
        <v>1</v>
      </c>
      <c r="AD349" s="306" t="str">
        <f t="shared" si="58"/>
        <v/>
      </c>
      <c r="AE349" s="242">
        <f t="shared" si="59"/>
        <v>170891.58</v>
      </c>
      <c r="AF349" s="242" t="str">
        <f t="shared" si="60"/>
        <v/>
      </c>
      <c r="AG349" s="242" t="str">
        <f t="shared" si="61"/>
        <v/>
      </c>
      <c r="AH349" s="352" t="str">
        <f t="shared" si="62"/>
        <v/>
      </c>
    </row>
    <row r="350" spans="2:34">
      <c r="B350" s="166" t="s">
        <v>478</v>
      </c>
      <c r="C350" s="150"/>
      <c r="D350" s="150" t="s">
        <v>118</v>
      </c>
      <c r="E350" s="150" t="s">
        <v>142</v>
      </c>
      <c r="F350" s="150" t="s">
        <v>901</v>
      </c>
      <c r="G350" s="146"/>
      <c r="H350" s="155"/>
      <c r="I350" s="135">
        <f t="shared" si="63"/>
        <v>0</v>
      </c>
      <c r="J350" s="147"/>
      <c r="K350" s="155">
        <v>940.43700928060798</v>
      </c>
      <c r="L350" s="88">
        <f t="shared" si="64"/>
        <v>38.405177213972451</v>
      </c>
      <c r="M350" s="160">
        <v>36117.65</v>
      </c>
      <c r="N350" s="167">
        <v>2016</v>
      </c>
      <c r="O350" s="167">
        <f>IFERROR(('General Input Sheet'!$G$38/(VLOOKUP(N350,'General Input Sheet'!$E$38:$G$44,3,FALSE))),1)</f>
        <v>1</v>
      </c>
      <c r="P350" s="189">
        <f t="shared" si="56"/>
        <v>36117.65</v>
      </c>
      <c r="Q350" s="89" t="str">
        <f t="shared" si="65"/>
        <v>y</v>
      </c>
      <c r="R350" s="89" t="str">
        <f t="shared" si="65"/>
        <v>y</v>
      </c>
      <c r="S350" s="89" t="str">
        <f t="shared" si="65"/>
        <v>y</v>
      </c>
      <c r="T350" s="89" t="str">
        <f t="shared" si="65"/>
        <v>y</v>
      </c>
      <c r="U350" s="254" t="str">
        <f t="shared" si="65"/>
        <v>y</v>
      </c>
      <c r="V350" s="308"/>
      <c r="W350" s="309" cm="1">
        <f t="array" ref="W350">_xlfn.IFS(AND(Q350="y",$D350="Local"), 1, AND(Q350="y",$D350&lt;&gt;"Local"),1.49009696454663%, Q350="","")</f>
        <v>1.49009696454663E-2</v>
      </c>
      <c r="X350" s="272" cm="1">
        <f t="array" ref="X350">_xlfn.IFS(AND(R350="y",$D350="Local"), 1, AND(R350="y",$D350&lt;&gt;"Local"),20.7557554582461%, R350="","")</f>
        <v>0.207557554582461</v>
      </c>
      <c r="Y350" s="272" cm="1">
        <f t="array" ref="Y350">_xlfn.IFS(AND(S350="y",$D350="Local"), 1, AND(S350="y",$D350&lt;&gt;"Local"),30.3499104327336%, S350="","")</f>
        <v>0.30349910432733601</v>
      </c>
      <c r="Z350" s="272" cm="1">
        <f t="array" ref="Z350">_xlfn.IFS(AND(T350="y",$D350="Local"), 1, AND(T350="y",$D350&lt;&gt;"Local"),29.0043833288201%, T350="","")</f>
        <v>0.29004383328820099</v>
      </c>
      <c r="AA350" s="272" cm="1">
        <f t="array" ref="AA350">_xlfn.IFS(AND(U350="y",$D350="Local"), 1, AND(U350="y",$D350&lt;&gt;"Local"),18.3998538156536%, U350="","")</f>
        <v>0.183998538156536</v>
      </c>
      <c r="AB350" s="68">
        <f t="shared" si="57"/>
        <v>1.0000000000000004</v>
      </c>
      <c r="AD350" s="306">
        <f t="shared" si="58"/>
        <v>538.18800631557565</v>
      </c>
      <c r="AE350" s="242">
        <f t="shared" si="59"/>
        <v>7496.4911112652198</v>
      </c>
      <c r="AF350" s="242">
        <f t="shared" si="60"/>
        <v>10961.674425408204</v>
      </c>
      <c r="AG350" s="242">
        <f t="shared" si="61"/>
        <v>10475.701655361589</v>
      </c>
      <c r="AH350" s="352">
        <f t="shared" si="62"/>
        <v>6645.5948016494094</v>
      </c>
    </row>
    <row r="351" spans="2:34">
      <c r="B351" s="166" t="s">
        <v>479</v>
      </c>
      <c r="C351" s="150"/>
      <c r="D351" s="150" t="s">
        <v>118</v>
      </c>
      <c r="E351" s="150" t="s">
        <v>142</v>
      </c>
      <c r="F351" s="150" t="s">
        <v>902</v>
      </c>
      <c r="G351" s="146"/>
      <c r="H351" s="155"/>
      <c r="I351" s="135">
        <f t="shared" si="63"/>
        <v>0</v>
      </c>
      <c r="J351" s="147"/>
      <c r="K351" s="155">
        <v>6348.1450561075799</v>
      </c>
      <c r="L351" s="88">
        <f t="shared" si="64"/>
        <v>131.49760483133068</v>
      </c>
      <c r="M351" s="160">
        <v>834765.87</v>
      </c>
      <c r="N351" s="167">
        <v>2016</v>
      </c>
      <c r="O351" s="167">
        <f>IFERROR(('General Input Sheet'!$G$38/(VLOOKUP(N351,'General Input Sheet'!$E$38:$G$44,3,FALSE))),1)</f>
        <v>1</v>
      </c>
      <c r="P351" s="189">
        <f t="shared" si="56"/>
        <v>834765.87</v>
      </c>
      <c r="Q351" s="89" t="str">
        <f t="shared" si="65"/>
        <v>y</v>
      </c>
      <c r="R351" s="89" t="str">
        <f t="shared" si="65"/>
        <v>y</v>
      </c>
      <c r="S351" s="89" t="str">
        <f t="shared" si="65"/>
        <v>y</v>
      </c>
      <c r="T351" s="89" t="str">
        <f t="shared" si="65"/>
        <v>y</v>
      </c>
      <c r="U351" s="254" t="str">
        <f t="shared" si="65"/>
        <v>y</v>
      </c>
      <c r="V351" s="308"/>
      <c r="W351" s="309" cm="1">
        <f t="array" ref="W351">_xlfn.IFS(AND(Q351="y",$D351="Local"), 1, AND(Q351="y",$D351&lt;&gt;"Local"),1.49009696454663%, Q351="","")</f>
        <v>1.49009696454663E-2</v>
      </c>
      <c r="X351" s="272" cm="1">
        <f t="array" ref="X351">_xlfn.IFS(AND(R351="y",$D351="Local"), 1, AND(R351="y",$D351&lt;&gt;"Local"),20.7557554582461%, R351="","")</f>
        <v>0.207557554582461</v>
      </c>
      <c r="Y351" s="272" cm="1">
        <f t="array" ref="Y351">_xlfn.IFS(AND(S351="y",$D351="Local"), 1, AND(S351="y",$D351&lt;&gt;"Local"),30.3499104327336%, S351="","")</f>
        <v>0.30349910432733601</v>
      </c>
      <c r="Z351" s="272" cm="1">
        <f t="array" ref="Z351">_xlfn.IFS(AND(T351="y",$D351="Local"), 1, AND(T351="y",$D351&lt;&gt;"Local"),29.0043833288201%, T351="","")</f>
        <v>0.29004383328820099</v>
      </c>
      <c r="AA351" s="272" cm="1">
        <f t="array" ref="AA351">_xlfn.IFS(AND(U351="y",$D351="Local"), 1, AND(U351="y",$D351&lt;&gt;"Local"),18.3998538156536%, U351="","")</f>
        <v>0.183998538156536</v>
      </c>
      <c r="AB351" s="68">
        <f t="shared" si="57"/>
        <v>1.0000000000000004</v>
      </c>
      <c r="AD351" s="306">
        <f t="shared" si="58"/>
        <v>12438.820889941262</v>
      </c>
      <c r="AE351" s="242">
        <f t="shared" si="59"/>
        <v>173261.96262610046</v>
      </c>
      <c r="AF351" s="242">
        <f t="shared" si="60"/>
        <v>253350.69386802931</v>
      </c>
      <c r="AG351" s="242">
        <f t="shared" si="61"/>
        <v>242118.69283295996</v>
      </c>
      <c r="AH351" s="352">
        <f t="shared" si="62"/>
        <v>153595.69978296891</v>
      </c>
    </row>
    <row r="352" spans="2:34">
      <c r="B352" s="166" t="s">
        <v>480</v>
      </c>
      <c r="C352" s="150"/>
      <c r="D352" s="150" t="s">
        <v>116</v>
      </c>
      <c r="E352" s="150" t="s">
        <v>142</v>
      </c>
      <c r="F352" s="150" t="s">
        <v>903</v>
      </c>
      <c r="G352" s="146"/>
      <c r="H352" s="155"/>
      <c r="I352" s="135">
        <f t="shared" si="63"/>
        <v>0</v>
      </c>
      <c r="J352" s="147"/>
      <c r="K352" s="155">
        <v>171.76182788394101</v>
      </c>
      <c r="L352" s="88">
        <f t="shared" si="64"/>
        <v>412.22878722414885</v>
      </c>
      <c r="M352" s="160">
        <v>70805.17</v>
      </c>
      <c r="N352" s="167">
        <v>2016</v>
      </c>
      <c r="O352" s="167">
        <f>IFERROR(('General Input Sheet'!$G$38/(VLOOKUP(N352,'General Input Sheet'!$E$38:$G$44,3,FALSE))),1)</f>
        <v>1</v>
      </c>
      <c r="P352" s="189">
        <f t="shared" si="56"/>
        <v>70805.17</v>
      </c>
      <c r="Q352" s="89" t="str">
        <f t="shared" si="65"/>
        <v/>
      </c>
      <c r="R352" s="89" t="str">
        <f t="shared" si="65"/>
        <v/>
      </c>
      <c r="S352" s="89" t="str">
        <f t="shared" si="65"/>
        <v/>
      </c>
      <c r="T352" s="89" t="str">
        <f t="shared" si="65"/>
        <v>y</v>
      </c>
      <c r="U352" s="254" t="str">
        <f t="shared" si="65"/>
        <v/>
      </c>
      <c r="V352" s="308"/>
      <c r="W352" s="309" t="str" cm="1">
        <f t="array" ref="W352">_xlfn.IFS(AND(Q352="y",$D352="Local"), 1, AND(Q352="y",$D352&lt;&gt;"Local"),1.49009696454663%, Q352="","")</f>
        <v/>
      </c>
      <c r="X352" s="272" t="str" cm="1">
        <f t="array" ref="X352">_xlfn.IFS(AND(R352="y",$D352="Local"), 1, AND(R352="y",$D352&lt;&gt;"Local"),20.7557554582461%, R352="","")</f>
        <v/>
      </c>
      <c r="Y352" s="272" t="str" cm="1">
        <f t="array" ref="Y352">_xlfn.IFS(AND(S352="y",$D352="Local"), 1, AND(S352="y",$D352&lt;&gt;"Local"),30.3499104327336%, S352="","")</f>
        <v/>
      </c>
      <c r="Z352" s="272" cm="1">
        <f t="array" ref="Z352">_xlfn.IFS(AND(T352="y",$D352="Local"), 1, AND(T352="y",$D352&lt;&gt;"Local"),29.0043833288201%, T352="","")</f>
        <v>1</v>
      </c>
      <c r="AA352" s="272" t="str" cm="1">
        <f t="array" ref="AA352">_xlfn.IFS(AND(U352="y",$D352="Local"), 1, AND(U352="y",$D352&lt;&gt;"Local"),18.3998538156536%, U352="","")</f>
        <v/>
      </c>
      <c r="AB352" s="68">
        <f t="shared" si="57"/>
        <v>1</v>
      </c>
      <c r="AD352" s="306" t="str">
        <f t="shared" si="58"/>
        <v/>
      </c>
      <c r="AE352" s="242" t="str">
        <f t="shared" si="59"/>
        <v/>
      </c>
      <c r="AF352" s="242" t="str">
        <f t="shared" si="60"/>
        <v/>
      </c>
      <c r="AG352" s="242">
        <f t="shared" si="61"/>
        <v>70805.17</v>
      </c>
      <c r="AH352" s="352" t="str">
        <f t="shared" si="62"/>
        <v/>
      </c>
    </row>
    <row r="353" spans="2:34">
      <c r="B353" s="166" t="s">
        <v>481</v>
      </c>
      <c r="C353" s="150"/>
      <c r="D353" s="150" t="s">
        <v>118</v>
      </c>
      <c r="E353" s="150" t="s">
        <v>141</v>
      </c>
      <c r="F353" s="150" t="s">
        <v>904</v>
      </c>
      <c r="G353" s="146"/>
      <c r="H353" s="155"/>
      <c r="I353" s="135">
        <f t="shared" si="63"/>
        <v>0</v>
      </c>
      <c r="J353" s="147"/>
      <c r="K353" s="155">
        <v>4129.5420367496599</v>
      </c>
      <c r="L353" s="88">
        <f t="shared" si="64"/>
        <v>817.43536933624318</v>
      </c>
      <c r="M353" s="160">
        <v>3375633.72</v>
      </c>
      <c r="N353" s="167">
        <v>2016</v>
      </c>
      <c r="O353" s="167">
        <f>IFERROR(('General Input Sheet'!$G$38/(VLOOKUP(N353,'General Input Sheet'!$E$38:$G$44,3,FALSE))),1)</f>
        <v>1</v>
      </c>
      <c r="P353" s="186">
        <f t="shared" si="56"/>
        <v>3375633.72</v>
      </c>
      <c r="Q353" s="89" t="str">
        <f t="shared" si="65"/>
        <v>y</v>
      </c>
      <c r="R353" s="89" t="str">
        <f t="shared" si="65"/>
        <v>y</v>
      </c>
      <c r="S353" s="89" t="str">
        <f t="shared" si="65"/>
        <v>y</v>
      </c>
      <c r="T353" s="89" t="str">
        <f t="shared" si="65"/>
        <v>y</v>
      </c>
      <c r="U353" s="254" t="str">
        <f t="shared" si="65"/>
        <v>y</v>
      </c>
      <c r="V353" s="308"/>
      <c r="W353" s="309" cm="1">
        <f t="array" ref="W353">_xlfn.IFS(AND(Q353="y",$D353="Local"), 1, AND(Q353="y",$D353&lt;&gt;"Local"),1.49009696454663%, Q353="","")</f>
        <v>1.49009696454663E-2</v>
      </c>
      <c r="X353" s="272" cm="1">
        <f t="array" ref="X353">_xlfn.IFS(AND(R353="y",$D353="Local"), 1, AND(R353="y",$D353&lt;&gt;"Local"),20.7557554582461%, R353="","")</f>
        <v>0.207557554582461</v>
      </c>
      <c r="Y353" s="272" cm="1">
        <f t="array" ref="Y353">_xlfn.IFS(AND(S353="y",$D353="Local"), 1, AND(S353="y",$D353&lt;&gt;"Local"),30.3499104327336%, S353="","")</f>
        <v>0.30349910432733601</v>
      </c>
      <c r="Z353" s="272" cm="1">
        <f t="array" ref="Z353">_xlfn.IFS(AND(T353="y",$D353="Local"), 1, AND(T353="y",$D353&lt;&gt;"Local"),29.0043833288201%, T353="","")</f>
        <v>0.29004383328820099</v>
      </c>
      <c r="AA353" s="272" cm="1">
        <f t="array" ref="AA353">_xlfn.IFS(AND(U353="y",$D353="Local"), 1, AND(U353="y",$D353&lt;&gt;"Local"),18.3998538156536%, U353="","")</f>
        <v>0.183998538156536</v>
      </c>
      <c r="AB353" s="68">
        <f t="shared" si="57"/>
        <v>1.0000000000000004</v>
      </c>
      <c r="AD353" s="306">
        <f t="shared" si="58"/>
        <v>50300.215595932466</v>
      </c>
      <c r="AE353" s="242">
        <f t="shared" si="59"/>
        <v>700638.28008929559</v>
      </c>
      <c r="AF353" s="242">
        <f t="shared" si="60"/>
        <v>1024501.8105571531</v>
      </c>
      <c r="AG353" s="242">
        <f t="shared" si="61"/>
        <v>979081.74392570939</v>
      </c>
      <c r="AH353" s="352">
        <f t="shared" si="62"/>
        <v>621111.66983190936</v>
      </c>
    </row>
    <row r="354" spans="2:34">
      <c r="B354" s="166" t="s">
        <v>482</v>
      </c>
      <c r="C354" s="150"/>
      <c r="D354" s="150" t="s">
        <v>118</v>
      </c>
      <c r="E354" s="150" t="s">
        <v>141</v>
      </c>
      <c r="F354" s="150" t="s">
        <v>905</v>
      </c>
      <c r="G354" s="146">
        <v>56000</v>
      </c>
      <c r="H354" s="155">
        <v>1500</v>
      </c>
      <c r="I354" s="135">
        <f t="shared" si="63"/>
        <v>45</v>
      </c>
      <c r="J354" s="147">
        <v>123500</v>
      </c>
      <c r="K354" s="155">
        <v>5770.0947989962597</v>
      </c>
      <c r="L354" s="88">
        <f t="shared" si="64"/>
        <v>82.642789522791176</v>
      </c>
      <c r="M354" s="160">
        <v>476856.73</v>
      </c>
      <c r="N354" s="167">
        <v>2016</v>
      </c>
      <c r="O354" s="167">
        <f>IFERROR(('General Input Sheet'!$G$38/(VLOOKUP(N354,'General Input Sheet'!$E$38:$G$44,3,FALSE))),1)</f>
        <v>1</v>
      </c>
      <c r="P354" s="189">
        <f t="shared" si="56"/>
        <v>600356.73</v>
      </c>
      <c r="Q354" s="89" t="str">
        <f t="shared" si="65"/>
        <v>y</v>
      </c>
      <c r="R354" s="89" t="str">
        <f t="shared" si="65"/>
        <v>y</v>
      </c>
      <c r="S354" s="89" t="str">
        <f t="shared" si="65"/>
        <v>y</v>
      </c>
      <c r="T354" s="89" t="str">
        <f t="shared" si="65"/>
        <v>y</v>
      </c>
      <c r="U354" s="254" t="str">
        <f t="shared" si="65"/>
        <v>y</v>
      </c>
      <c r="V354" s="308"/>
      <c r="W354" s="309" cm="1">
        <f t="array" ref="W354">_xlfn.IFS(AND(Q354="y",$D354="Local"), 1, AND(Q354="y",$D354&lt;&gt;"Local"),1.49009696454663%, Q354="","")</f>
        <v>1.49009696454663E-2</v>
      </c>
      <c r="X354" s="272" cm="1">
        <f t="array" ref="X354">_xlfn.IFS(AND(R354="y",$D354="Local"), 1, AND(R354="y",$D354&lt;&gt;"Local"),20.7557554582461%, R354="","")</f>
        <v>0.207557554582461</v>
      </c>
      <c r="Y354" s="272" cm="1">
        <f t="array" ref="Y354">_xlfn.IFS(AND(S354="y",$D354="Local"), 1, AND(S354="y",$D354&lt;&gt;"Local"),30.3499104327336%, S354="","")</f>
        <v>0.30349910432733601</v>
      </c>
      <c r="Z354" s="272" cm="1">
        <f t="array" ref="Z354">_xlfn.IFS(AND(T354="y",$D354="Local"), 1, AND(T354="y",$D354&lt;&gt;"Local"),29.0043833288201%, T354="","")</f>
        <v>0.29004383328820099</v>
      </c>
      <c r="AA354" s="272" cm="1">
        <f t="array" ref="AA354">_xlfn.IFS(AND(U354="y",$D354="Local"), 1, AND(U354="y",$D354&lt;&gt;"Local"),18.3998538156536%, U354="","")</f>
        <v>0.183998538156536</v>
      </c>
      <c r="AB354" s="68">
        <f t="shared" si="57"/>
        <v>1.0000000000000004</v>
      </c>
      <c r="AD354" s="306">
        <f t="shared" si="58"/>
        <v>8945.8974101814038</v>
      </c>
      <c r="AE354" s="242">
        <f t="shared" si="59"/>
        <v>124608.57475592275</v>
      </c>
      <c r="AF354" s="242">
        <f t="shared" si="60"/>
        <v>182207.72983188822</v>
      </c>
      <c r="AG354" s="242">
        <f t="shared" si="61"/>
        <v>174129.76730956943</v>
      </c>
      <c r="AH354" s="352">
        <f t="shared" si="62"/>
        <v>110464.76069243813</v>
      </c>
    </row>
    <row r="355" spans="2:34">
      <c r="B355" s="166" t="s">
        <v>482</v>
      </c>
      <c r="C355" s="150"/>
      <c r="D355" s="150" t="s">
        <v>118</v>
      </c>
      <c r="E355" s="150" t="s">
        <v>141</v>
      </c>
      <c r="F355" s="150" t="s">
        <v>906</v>
      </c>
      <c r="G355" s="146">
        <v>56000</v>
      </c>
      <c r="H355" s="155">
        <v>1200</v>
      </c>
      <c r="I355" s="135">
        <f t="shared" si="63"/>
        <v>45</v>
      </c>
      <c r="J355" s="147">
        <v>110000</v>
      </c>
      <c r="K355" s="155"/>
      <c r="L355" s="88">
        <f t="shared" si="64"/>
        <v>0</v>
      </c>
      <c r="M355" s="160"/>
      <c r="N355" s="167">
        <v>2016</v>
      </c>
      <c r="O355" s="167">
        <f>IFERROR(('General Input Sheet'!$G$38/(VLOOKUP(N355,'General Input Sheet'!$E$38:$G$44,3,FALSE))),1)</f>
        <v>1</v>
      </c>
      <c r="P355" s="189">
        <f t="shared" si="56"/>
        <v>110000</v>
      </c>
      <c r="Q355" s="89" t="str">
        <f t="shared" si="65"/>
        <v>y</v>
      </c>
      <c r="R355" s="89" t="str">
        <f t="shared" si="65"/>
        <v>y</v>
      </c>
      <c r="S355" s="89" t="str">
        <f t="shared" si="65"/>
        <v>y</v>
      </c>
      <c r="T355" s="89" t="str">
        <f t="shared" si="65"/>
        <v>y</v>
      </c>
      <c r="U355" s="254" t="str">
        <f t="shared" si="65"/>
        <v>y</v>
      </c>
      <c r="V355" s="308"/>
      <c r="W355" s="309" cm="1">
        <f t="array" ref="W355">_xlfn.IFS(AND(Q355="y",$D355="Local"), 1, AND(Q355="y",$D355&lt;&gt;"Local"),1.49009696454663%, Q355="","")</f>
        <v>1.49009696454663E-2</v>
      </c>
      <c r="X355" s="272" cm="1">
        <f t="array" ref="X355">_xlfn.IFS(AND(R355="y",$D355="Local"), 1, AND(R355="y",$D355&lt;&gt;"Local"),20.7557554582461%, R355="","")</f>
        <v>0.207557554582461</v>
      </c>
      <c r="Y355" s="272" cm="1">
        <f t="array" ref="Y355">_xlfn.IFS(AND(S355="y",$D355="Local"), 1, AND(S355="y",$D355&lt;&gt;"Local"),30.3499104327336%, S355="","")</f>
        <v>0.30349910432733601</v>
      </c>
      <c r="Z355" s="272" cm="1">
        <f t="array" ref="Z355">_xlfn.IFS(AND(T355="y",$D355="Local"), 1, AND(T355="y",$D355&lt;&gt;"Local"),29.0043833288201%, T355="","")</f>
        <v>0.29004383328820099</v>
      </c>
      <c r="AA355" s="272" cm="1">
        <f t="array" ref="AA355">_xlfn.IFS(AND(U355="y",$D355="Local"), 1, AND(U355="y",$D355&lt;&gt;"Local"),18.3998538156536%, U355="","")</f>
        <v>0.183998538156536</v>
      </c>
      <c r="AB355" s="68">
        <f t="shared" si="57"/>
        <v>1.0000000000000004</v>
      </c>
      <c r="AD355" s="306">
        <f t="shared" si="58"/>
        <v>1639.1066610012922</v>
      </c>
      <c r="AE355" s="242">
        <f t="shared" si="59"/>
        <v>22831.3310040707</v>
      </c>
      <c r="AF355" s="242">
        <f t="shared" si="60"/>
        <v>33384.901476006948</v>
      </c>
      <c r="AG355" s="242">
        <f t="shared" si="61"/>
        <v>31904.821661702095</v>
      </c>
      <c r="AH355" s="352">
        <f t="shared" si="62"/>
        <v>20239.839197218949</v>
      </c>
    </row>
    <row r="356" spans="2:34">
      <c r="B356" s="166" t="s">
        <v>482</v>
      </c>
      <c r="C356" s="150"/>
      <c r="D356" s="150" t="s">
        <v>565</v>
      </c>
      <c r="E356" s="150" t="s">
        <v>141</v>
      </c>
      <c r="F356" s="150" t="s">
        <v>907</v>
      </c>
      <c r="G356" s="146">
        <v>56000</v>
      </c>
      <c r="H356" s="155">
        <v>189</v>
      </c>
      <c r="I356" s="135">
        <f t="shared" si="63"/>
        <v>45</v>
      </c>
      <c r="J356" s="147">
        <v>64505</v>
      </c>
      <c r="K356" s="155"/>
      <c r="L356" s="88">
        <f t="shared" si="64"/>
        <v>0</v>
      </c>
      <c r="M356" s="160"/>
      <c r="N356" s="167">
        <v>2016</v>
      </c>
      <c r="O356" s="167">
        <f>IFERROR(('General Input Sheet'!$G$38/(VLOOKUP(N356,'General Input Sheet'!$E$38:$G$44,3,FALSE))),1)</f>
        <v>1</v>
      </c>
      <c r="P356" s="189">
        <f t="shared" si="56"/>
        <v>64505</v>
      </c>
      <c r="Q356" s="89" t="str">
        <f t="shared" si="65"/>
        <v/>
      </c>
      <c r="R356" s="89" t="str">
        <f t="shared" si="65"/>
        <v/>
      </c>
      <c r="S356" s="89" t="str">
        <f t="shared" si="65"/>
        <v>y</v>
      </c>
      <c r="T356" s="89" t="str">
        <f t="shared" si="65"/>
        <v/>
      </c>
      <c r="U356" s="254" t="str">
        <f t="shared" si="65"/>
        <v/>
      </c>
      <c r="V356" s="308"/>
      <c r="W356" s="309" t="str" cm="1">
        <f t="array" ref="W356">_xlfn.IFS(AND(Q356="y",$D356="Local"), 1, AND(Q356="y",$D356&lt;&gt;"Local"),1.49009696454663%, Q356="","")</f>
        <v/>
      </c>
      <c r="X356" s="272" t="str" cm="1">
        <f t="array" ref="X356">_xlfn.IFS(AND(R356="y",$D356="Local"), 1, AND(R356="y",$D356&lt;&gt;"Local"),20.7557554582461%, R356="","")</f>
        <v/>
      </c>
      <c r="Y356" s="272" cm="1">
        <f t="array" ref="Y356">_xlfn.IFS(AND(S356="y",$D356="Local"), 1, AND(S356="y",$D356&lt;&gt;"Local"),30.3499104327336%, S356="","")</f>
        <v>1</v>
      </c>
      <c r="Z356" s="272" t="str" cm="1">
        <f t="array" ref="Z356">_xlfn.IFS(AND(T356="y",$D356="Local"), 1, AND(T356="y",$D356&lt;&gt;"Local"),29.0043833288201%, T356="","")</f>
        <v/>
      </c>
      <c r="AA356" s="272" t="str" cm="1">
        <f t="array" ref="AA356">_xlfn.IFS(AND(U356="y",$D356="Local"), 1, AND(U356="y",$D356&lt;&gt;"Local"),18.3998538156536%, U356="","")</f>
        <v/>
      </c>
      <c r="AB356" s="68">
        <f t="shared" si="57"/>
        <v>1</v>
      </c>
      <c r="AD356" s="306" t="str">
        <f t="shared" si="58"/>
        <v/>
      </c>
      <c r="AE356" s="242" t="str">
        <f t="shared" si="59"/>
        <v/>
      </c>
      <c r="AF356" s="242">
        <f t="shared" si="60"/>
        <v>64505</v>
      </c>
      <c r="AG356" s="242" t="str">
        <f t="shared" si="61"/>
        <v/>
      </c>
      <c r="AH356" s="352" t="str">
        <f t="shared" si="62"/>
        <v/>
      </c>
    </row>
    <row r="357" spans="2:34">
      <c r="B357" s="166" t="s">
        <v>482</v>
      </c>
      <c r="C357" s="150"/>
      <c r="D357" s="150" t="s">
        <v>565</v>
      </c>
      <c r="E357" s="150" t="s">
        <v>141</v>
      </c>
      <c r="F357" s="150" t="s">
        <v>907</v>
      </c>
      <c r="G357" s="146">
        <v>56000</v>
      </c>
      <c r="H357" s="155">
        <v>0</v>
      </c>
      <c r="I357" s="135">
        <f t="shared" si="63"/>
        <v>0</v>
      </c>
      <c r="J357" s="147">
        <v>56000</v>
      </c>
      <c r="K357" s="155"/>
      <c r="L357" s="88">
        <f t="shared" si="64"/>
        <v>0</v>
      </c>
      <c r="M357" s="160"/>
      <c r="N357" s="167">
        <v>2016</v>
      </c>
      <c r="O357" s="167">
        <f>IFERROR(('General Input Sheet'!$G$38/(VLOOKUP(N357,'General Input Sheet'!$E$38:$G$44,3,FALSE))),1)</f>
        <v>1</v>
      </c>
      <c r="P357" s="189">
        <f t="shared" si="56"/>
        <v>56000</v>
      </c>
      <c r="Q357" s="89" t="str">
        <f t="shared" si="65"/>
        <v/>
      </c>
      <c r="R357" s="89" t="str">
        <f t="shared" si="65"/>
        <v/>
      </c>
      <c r="S357" s="89" t="str">
        <f t="shared" si="65"/>
        <v>y</v>
      </c>
      <c r="T357" s="89" t="str">
        <f t="shared" si="65"/>
        <v/>
      </c>
      <c r="U357" s="254" t="str">
        <f t="shared" si="65"/>
        <v/>
      </c>
      <c r="V357" s="308"/>
      <c r="W357" s="309" t="str" cm="1">
        <f t="array" ref="W357">_xlfn.IFS(AND(Q357="y",$D357="Local"), 1, AND(Q357="y",$D357&lt;&gt;"Local"),1.49009696454663%, Q357="","")</f>
        <v/>
      </c>
      <c r="X357" s="272" t="str" cm="1">
        <f t="array" ref="X357">_xlfn.IFS(AND(R357="y",$D357="Local"), 1, AND(R357="y",$D357&lt;&gt;"Local"),20.7557554582461%, R357="","")</f>
        <v/>
      </c>
      <c r="Y357" s="272" cm="1">
        <f t="array" ref="Y357">_xlfn.IFS(AND(S357="y",$D357="Local"), 1, AND(S357="y",$D357&lt;&gt;"Local"),30.3499104327336%, S357="","")</f>
        <v>1</v>
      </c>
      <c r="Z357" s="272" t="str" cm="1">
        <f t="array" ref="Z357">_xlfn.IFS(AND(T357="y",$D357="Local"), 1, AND(T357="y",$D357&lt;&gt;"Local"),29.0043833288201%, T357="","")</f>
        <v/>
      </c>
      <c r="AA357" s="272" t="str" cm="1">
        <f t="array" ref="AA357">_xlfn.IFS(AND(U357="y",$D357="Local"), 1, AND(U357="y",$D357&lt;&gt;"Local"),18.3998538156536%, U357="","")</f>
        <v/>
      </c>
      <c r="AB357" s="68">
        <f t="shared" si="57"/>
        <v>1</v>
      </c>
      <c r="AD357" s="306" t="str">
        <f t="shared" si="58"/>
        <v/>
      </c>
      <c r="AE357" s="242" t="str">
        <f t="shared" si="59"/>
        <v/>
      </c>
      <c r="AF357" s="242">
        <f t="shared" si="60"/>
        <v>56000</v>
      </c>
      <c r="AG357" s="242" t="str">
        <f t="shared" si="61"/>
        <v/>
      </c>
      <c r="AH357" s="352" t="str">
        <f t="shared" si="62"/>
        <v/>
      </c>
    </row>
    <row r="358" spans="2:34">
      <c r="B358" s="166" t="s">
        <v>483</v>
      </c>
      <c r="C358" s="150"/>
      <c r="D358" s="150" t="s">
        <v>118</v>
      </c>
      <c r="E358" s="150" t="s">
        <v>141</v>
      </c>
      <c r="F358" s="150" t="s">
        <v>908</v>
      </c>
      <c r="G358" s="146"/>
      <c r="H358" s="155"/>
      <c r="I358" s="135">
        <f t="shared" si="63"/>
        <v>0</v>
      </c>
      <c r="J358" s="147"/>
      <c r="K358" s="155">
        <v>347.216337469434</v>
      </c>
      <c r="L358" s="88">
        <f t="shared" si="64"/>
        <v>456.89203784647771</v>
      </c>
      <c r="M358" s="160">
        <v>158640.38</v>
      </c>
      <c r="N358" s="167">
        <v>2016</v>
      </c>
      <c r="O358" s="167">
        <f>IFERROR(('General Input Sheet'!$G$38/(VLOOKUP(N358,'General Input Sheet'!$E$38:$G$44,3,FALSE))),1)</f>
        <v>1</v>
      </c>
      <c r="P358" s="189">
        <f t="shared" si="56"/>
        <v>158640.38</v>
      </c>
      <c r="Q358" s="89" t="str">
        <f t="shared" si="65"/>
        <v>y</v>
      </c>
      <c r="R358" s="89" t="str">
        <f t="shared" si="65"/>
        <v>y</v>
      </c>
      <c r="S358" s="89" t="str">
        <f t="shared" si="65"/>
        <v>y</v>
      </c>
      <c r="T358" s="89" t="str">
        <f t="shared" si="65"/>
        <v>y</v>
      </c>
      <c r="U358" s="254" t="str">
        <f t="shared" si="65"/>
        <v>y</v>
      </c>
      <c r="V358" s="308"/>
      <c r="W358" s="309" cm="1">
        <f t="array" ref="W358">_xlfn.IFS(AND(Q358="y",$D358="Local"), 1, AND(Q358="y",$D358&lt;&gt;"Local"),1.49009696454663%, Q358="","")</f>
        <v>1.49009696454663E-2</v>
      </c>
      <c r="X358" s="272" cm="1">
        <f t="array" ref="X358">_xlfn.IFS(AND(R358="y",$D358="Local"), 1, AND(R358="y",$D358&lt;&gt;"Local"),20.7557554582461%, R358="","")</f>
        <v>0.207557554582461</v>
      </c>
      <c r="Y358" s="272" cm="1">
        <f t="array" ref="Y358">_xlfn.IFS(AND(S358="y",$D358="Local"), 1, AND(S358="y",$D358&lt;&gt;"Local"),30.3499104327336%, S358="","")</f>
        <v>0.30349910432733601</v>
      </c>
      <c r="Z358" s="272" cm="1">
        <f t="array" ref="Z358">_xlfn.IFS(AND(T358="y",$D358="Local"), 1, AND(T358="y",$D358&lt;&gt;"Local"),29.0043833288201%, T358="","")</f>
        <v>0.29004383328820099</v>
      </c>
      <c r="AA358" s="272" cm="1">
        <f t="array" ref="AA358">_xlfn.IFS(AND(U358="y",$D358="Local"), 1, AND(U358="y",$D358&lt;&gt;"Local"),18.3998538156536%, U358="","")</f>
        <v>0.183998538156536</v>
      </c>
      <c r="AB358" s="68">
        <f t="shared" si="57"/>
        <v>1.0000000000000004</v>
      </c>
      <c r="AD358" s="306">
        <f t="shared" si="58"/>
        <v>2363.8954869252379</v>
      </c>
      <c r="AE358" s="242">
        <f t="shared" si="59"/>
        <v>32927.009330832341</v>
      </c>
      <c r="AF358" s="242">
        <f t="shared" si="60"/>
        <v>48147.213240148216</v>
      </c>
      <c r="AG358" s="242">
        <f t="shared" si="61"/>
        <v>46012.663929496841</v>
      </c>
      <c r="AH358" s="352">
        <f t="shared" si="62"/>
        <v>29189.598012597358</v>
      </c>
    </row>
    <row r="359" spans="2:34">
      <c r="B359" s="166" t="s">
        <v>484</v>
      </c>
      <c r="C359" s="150"/>
      <c r="D359" s="150" t="s">
        <v>118</v>
      </c>
      <c r="E359" s="150" t="s">
        <v>142</v>
      </c>
      <c r="F359" s="150" t="s">
        <v>909</v>
      </c>
      <c r="G359" s="146"/>
      <c r="H359" s="155"/>
      <c r="I359" s="135">
        <f t="shared" si="63"/>
        <v>0</v>
      </c>
      <c r="J359" s="147"/>
      <c r="K359" s="155">
        <v>4.2778327424788101</v>
      </c>
      <c r="L359" s="88">
        <f t="shared" si="64"/>
        <v>181.38390318420531</v>
      </c>
      <c r="M359" s="160">
        <v>775.93</v>
      </c>
      <c r="N359" s="167">
        <v>2016</v>
      </c>
      <c r="O359" s="167">
        <f>IFERROR(('General Input Sheet'!$G$38/(VLOOKUP(N359,'General Input Sheet'!$E$38:$G$44,3,FALSE))),1)</f>
        <v>1</v>
      </c>
      <c r="P359" s="189">
        <f t="shared" si="56"/>
        <v>775.93</v>
      </c>
      <c r="Q359" s="89" t="str">
        <f t="shared" si="65"/>
        <v>y</v>
      </c>
      <c r="R359" s="89" t="str">
        <f t="shared" si="65"/>
        <v>y</v>
      </c>
      <c r="S359" s="89" t="str">
        <f t="shared" si="65"/>
        <v>y</v>
      </c>
      <c r="T359" s="89" t="str">
        <f t="shared" si="65"/>
        <v>y</v>
      </c>
      <c r="U359" s="254" t="str">
        <f t="shared" si="65"/>
        <v>y</v>
      </c>
      <c r="V359" s="308"/>
      <c r="W359" s="309" cm="1">
        <f t="array" ref="W359">_xlfn.IFS(AND(Q359="y",$D359="Local"), 1, AND(Q359="y",$D359&lt;&gt;"Local"),1.49009696454663%, Q359="","")</f>
        <v>1.49009696454663E-2</v>
      </c>
      <c r="X359" s="272" cm="1">
        <f t="array" ref="X359">_xlfn.IFS(AND(R359="y",$D359="Local"), 1, AND(R359="y",$D359&lt;&gt;"Local"),20.7557554582461%, R359="","")</f>
        <v>0.207557554582461</v>
      </c>
      <c r="Y359" s="272" cm="1">
        <f t="array" ref="Y359">_xlfn.IFS(AND(S359="y",$D359="Local"), 1, AND(S359="y",$D359&lt;&gt;"Local"),30.3499104327336%, S359="","")</f>
        <v>0.30349910432733601</v>
      </c>
      <c r="Z359" s="272" cm="1">
        <f t="array" ref="Z359">_xlfn.IFS(AND(T359="y",$D359="Local"), 1, AND(T359="y",$D359&lt;&gt;"Local"),29.0043833288201%, T359="","")</f>
        <v>0.29004383328820099</v>
      </c>
      <c r="AA359" s="272" cm="1">
        <f t="array" ref="AA359">_xlfn.IFS(AND(U359="y",$D359="Local"), 1, AND(U359="y",$D359&lt;&gt;"Local"),18.3998538156536%, U359="","")</f>
        <v>0.183998538156536</v>
      </c>
      <c r="AB359" s="68">
        <f t="shared" si="57"/>
        <v>1.0000000000000004</v>
      </c>
      <c r="AD359" s="306">
        <f t="shared" si="58"/>
        <v>11.56210937700666</v>
      </c>
      <c r="AE359" s="242">
        <f t="shared" si="59"/>
        <v>161.05013332716888</v>
      </c>
      <c r="AF359" s="242">
        <f t="shared" si="60"/>
        <v>235.49406002070972</v>
      </c>
      <c r="AG359" s="242">
        <f t="shared" si="61"/>
        <v>225.0537115633137</v>
      </c>
      <c r="AH359" s="352">
        <f t="shared" si="62"/>
        <v>142.7699857118009</v>
      </c>
    </row>
    <row r="360" spans="2:34">
      <c r="B360" s="166" t="s">
        <v>485</v>
      </c>
      <c r="C360" s="150"/>
      <c r="D360" s="150" t="s">
        <v>118</v>
      </c>
      <c r="E360" s="150" t="s">
        <v>141</v>
      </c>
      <c r="F360" s="150" t="s">
        <v>910</v>
      </c>
      <c r="G360" s="146">
        <v>56000</v>
      </c>
      <c r="H360" s="155">
        <v>569</v>
      </c>
      <c r="I360" s="135">
        <f t="shared" si="63"/>
        <v>45</v>
      </c>
      <c r="J360" s="147">
        <v>81605</v>
      </c>
      <c r="K360" s="155">
        <v>348.86880995379101</v>
      </c>
      <c r="L360" s="88">
        <f t="shared" si="64"/>
        <v>737.99566672097183</v>
      </c>
      <c r="M360" s="160">
        <v>257463.67</v>
      </c>
      <c r="N360" s="167">
        <v>2016</v>
      </c>
      <c r="O360" s="167">
        <f>IFERROR(('General Input Sheet'!$G$38/(VLOOKUP(N360,'General Input Sheet'!$E$38:$G$44,3,FALSE))),1)</f>
        <v>1</v>
      </c>
      <c r="P360" s="189">
        <f t="shared" si="56"/>
        <v>339068.67000000004</v>
      </c>
      <c r="Q360" s="89" t="str">
        <f t="shared" si="65"/>
        <v>y</v>
      </c>
      <c r="R360" s="89" t="str">
        <f t="shared" si="65"/>
        <v>y</v>
      </c>
      <c r="S360" s="89" t="str">
        <f t="shared" si="65"/>
        <v>y</v>
      </c>
      <c r="T360" s="89" t="str">
        <f t="shared" si="65"/>
        <v>y</v>
      </c>
      <c r="U360" s="254" t="str">
        <f t="shared" si="65"/>
        <v>y</v>
      </c>
      <c r="V360" s="308"/>
      <c r="W360" s="309" cm="1">
        <f t="array" ref="W360">_xlfn.IFS(AND(Q360="y",$D360="Local"), 1, AND(Q360="y",$D360&lt;&gt;"Local"),1.49009696454663%, Q360="","")</f>
        <v>1.49009696454663E-2</v>
      </c>
      <c r="X360" s="272" cm="1">
        <f t="array" ref="X360">_xlfn.IFS(AND(R360="y",$D360="Local"), 1, AND(R360="y",$D360&lt;&gt;"Local"),20.7557554582461%, R360="","")</f>
        <v>0.207557554582461</v>
      </c>
      <c r="Y360" s="272" cm="1">
        <f t="array" ref="Y360">_xlfn.IFS(AND(S360="y",$D360="Local"), 1, AND(S360="y",$D360&lt;&gt;"Local"),30.3499104327336%, S360="","")</f>
        <v>0.30349910432733601</v>
      </c>
      <c r="Z360" s="272" cm="1">
        <f t="array" ref="Z360">_xlfn.IFS(AND(T360="y",$D360="Local"), 1, AND(T360="y",$D360&lt;&gt;"Local"),29.0043833288201%, T360="","")</f>
        <v>0.29004383328820099</v>
      </c>
      <c r="AA360" s="272" cm="1">
        <f t="array" ref="AA360">_xlfn.IFS(AND(U360="y",$D360="Local"), 1, AND(U360="y",$D360&lt;&gt;"Local"),18.3998538156536%, U360="","")</f>
        <v>0.183998538156536</v>
      </c>
      <c r="AB360" s="68">
        <f t="shared" si="57"/>
        <v>1.0000000000000004</v>
      </c>
      <c r="AD360" s="306">
        <f t="shared" si="58"/>
        <v>5052.4519593986279</v>
      </c>
      <c r="AE360" s="242">
        <f t="shared" si="59"/>
        <v>70376.263980727439</v>
      </c>
      <c r="AF360" s="242">
        <f t="shared" si="60"/>
        <v>102907.03765046105</v>
      </c>
      <c r="AG360" s="242">
        <f t="shared" si="61"/>
        <v>98344.77679473201</v>
      </c>
      <c r="AH360" s="352">
        <f t="shared" si="62"/>
        <v>62388.139614680891</v>
      </c>
    </row>
    <row r="361" spans="2:34">
      <c r="B361" s="166" t="s">
        <v>486</v>
      </c>
      <c r="C361" s="150"/>
      <c r="D361" s="150" t="s">
        <v>118</v>
      </c>
      <c r="E361" s="150" t="s">
        <v>141</v>
      </c>
      <c r="F361" s="150" t="s">
        <v>911</v>
      </c>
      <c r="G361" s="146"/>
      <c r="H361" s="155"/>
      <c r="I361" s="135">
        <f t="shared" si="63"/>
        <v>0</v>
      </c>
      <c r="J361" s="147"/>
      <c r="K361" s="155">
        <v>350.48616430275501</v>
      </c>
      <c r="L361" s="88">
        <f t="shared" si="64"/>
        <v>737.99794783501761</v>
      </c>
      <c r="M361" s="160">
        <v>258658.07</v>
      </c>
      <c r="N361" s="167">
        <v>2016</v>
      </c>
      <c r="O361" s="167">
        <f>IFERROR(('General Input Sheet'!$G$38/(VLOOKUP(N361,'General Input Sheet'!$E$38:$G$44,3,FALSE))),1)</f>
        <v>1</v>
      </c>
      <c r="P361" s="189">
        <f t="shared" si="56"/>
        <v>258658.07</v>
      </c>
      <c r="Q361" s="89" t="str">
        <f t="shared" si="65"/>
        <v>y</v>
      </c>
      <c r="R361" s="89" t="str">
        <f t="shared" si="65"/>
        <v>y</v>
      </c>
      <c r="S361" s="89" t="str">
        <f t="shared" si="65"/>
        <v>y</v>
      </c>
      <c r="T361" s="89" t="str">
        <f t="shared" si="65"/>
        <v>y</v>
      </c>
      <c r="U361" s="254" t="str">
        <f t="shared" si="65"/>
        <v>y</v>
      </c>
      <c r="V361" s="308"/>
      <c r="W361" s="309" cm="1">
        <f t="array" ref="W361">_xlfn.IFS(AND(Q361="y",$D361="Local"), 1, AND(Q361="y",$D361&lt;&gt;"Local"),1.49009696454663%, Q361="","")</f>
        <v>1.49009696454663E-2</v>
      </c>
      <c r="X361" s="272" cm="1">
        <f t="array" ref="X361">_xlfn.IFS(AND(R361="y",$D361="Local"), 1, AND(R361="y",$D361&lt;&gt;"Local"),20.7557554582461%, R361="","")</f>
        <v>0.207557554582461</v>
      </c>
      <c r="Y361" s="272" cm="1">
        <f t="array" ref="Y361">_xlfn.IFS(AND(S361="y",$D361="Local"), 1, AND(S361="y",$D361&lt;&gt;"Local"),30.3499104327336%, S361="","")</f>
        <v>0.30349910432733601</v>
      </c>
      <c r="Z361" s="272" cm="1">
        <f t="array" ref="Z361">_xlfn.IFS(AND(T361="y",$D361="Local"), 1, AND(T361="y",$D361&lt;&gt;"Local"),29.0043833288201%, T361="","")</f>
        <v>0.29004383328820099</v>
      </c>
      <c r="AA361" s="272" cm="1">
        <f t="array" ref="AA361">_xlfn.IFS(AND(U361="y",$D361="Local"), 1, AND(U361="y",$D361&lt;&gt;"Local"),18.3998538156536%, U361="","")</f>
        <v>0.183998538156536</v>
      </c>
      <c r="AB361" s="68">
        <f t="shared" si="57"/>
        <v>1.0000000000000004</v>
      </c>
      <c r="AD361" s="306">
        <f t="shared" si="58"/>
        <v>3854.2560496248957</v>
      </c>
      <c r="AE361" s="242">
        <f t="shared" si="59"/>
        <v>53686.436482218996</v>
      </c>
      <c r="AF361" s="242">
        <f t="shared" si="60"/>
        <v>78502.492572037358</v>
      </c>
      <c r="AG361" s="242">
        <f t="shared" si="61"/>
        <v>75022.178133727793</v>
      </c>
      <c r="AH361" s="352">
        <f t="shared" si="62"/>
        <v>47592.706762390939</v>
      </c>
    </row>
    <row r="362" spans="2:34">
      <c r="B362" s="166" t="s">
        <v>487</v>
      </c>
      <c r="C362" s="150"/>
      <c r="D362" s="150" t="s">
        <v>116</v>
      </c>
      <c r="E362" s="150" t="s">
        <v>142</v>
      </c>
      <c r="F362" s="150" t="s">
        <v>912</v>
      </c>
      <c r="G362" s="146">
        <v>56000</v>
      </c>
      <c r="H362" s="155">
        <v>2800</v>
      </c>
      <c r="I362" s="135">
        <f t="shared" si="63"/>
        <v>45</v>
      </c>
      <c r="J362" s="147">
        <v>182000</v>
      </c>
      <c r="K362" s="155">
        <v>4087.97058920882</v>
      </c>
      <c r="L362" s="88">
        <f t="shared" si="64"/>
        <v>0.44418372402024281</v>
      </c>
      <c r="M362" s="160">
        <v>1815.81</v>
      </c>
      <c r="N362" s="167">
        <v>2016</v>
      </c>
      <c r="O362" s="167">
        <f>IFERROR(('General Input Sheet'!$G$38/(VLOOKUP(N362,'General Input Sheet'!$E$38:$G$44,3,FALSE))),1)</f>
        <v>1</v>
      </c>
      <c r="P362" s="189">
        <f t="shared" si="56"/>
        <v>183815.81</v>
      </c>
      <c r="Q362" s="89" t="str">
        <f t="shared" si="65"/>
        <v/>
      </c>
      <c r="R362" s="89" t="str">
        <f t="shared" si="65"/>
        <v/>
      </c>
      <c r="S362" s="89" t="str">
        <f t="shared" si="65"/>
        <v/>
      </c>
      <c r="T362" s="89" t="str">
        <f t="shared" si="65"/>
        <v>y</v>
      </c>
      <c r="U362" s="254" t="str">
        <f t="shared" si="65"/>
        <v/>
      </c>
      <c r="V362" s="308"/>
      <c r="W362" s="309" t="str" cm="1">
        <f t="array" ref="W362">_xlfn.IFS(AND(Q362="y",$D362="Local"), 1, AND(Q362="y",$D362&lt;&gt;"Local"),1.49009696454663%, Q362="","")</f>
        <v/>
      </c>
      <c r="X362" s="272" t="str" cm="1">
        <f t="array" ref="X362">_xlfn.IFS(AND(R362="y",$D362="Local"), 1, AND(R362="y",$D362&lt;&gt;"Local"),20.7557554582461%, R362="","")</f>
        <v/>
      </c>
      <c r="Y362" s="272" t="str" cm="1">
        <f t="array" ref="Y362">_xlfn.IFS(AND(S362="y",$D362="Local"), 1, AND(S362="y",$D362&lt;&gt;"Local"),30.3499104327336%, S362="","")</f>
        <v/>
      </c>
      <c r="Z362" s="272" cm="1">
        <f t="array" ref="Z362">_xlfn.IFS(AND(T362="y",$D362="Local"), 1, AND(T362="y",$D362&lt;&gt;"Local"),29.0043833288201%, T362="","")</f>
        <v>1</v>
      </c>
      <c r="AA362" s="272" t="str" cm="1">
        <f t="array" ref="AA362">_xlfn.IFS(AND(U362="y",$D362="Local"), 1, AND(U362="y",$D362&lt;&gt;"Local"),18.3998538156536%, U362="","")</f>
        <v/>
      </c>
      <c r="AB362" s="68">
        <f t="shared" si="57"/>
        <v>1</v>
      </c>
      <c r="AD362" s="306" t="str">
        <f t="shared" si="58"/>
        <v/>
      </c>
      <c r="AE362" s="242" t="str">
        <f t="shared" si="59"/>
        <v/>
      </c>
      <c r="AF362" s="242" t="str">
        <f t="shared" si="60"/>
        <v/>
      </c>
      <c r="AG362" s="242">
        <f t="shared" si="61"/>
        <v>183815.81</v>
      </c>
      <c r="AH362" s="352" t="str">
        <f t="shared" si="62"/>
        <v/>
      </c>
    </row>
    <row r="363" spans="2:34">
      <c r="B363" s="166" t="s">
        <v>488</v>
      </c>
      <c r="C363" s="150"/>
      <c r="D363" s="150" t="s">
        <v>116</v>
      </c>
      <c r="E363" s="150" t="s">
        <v>141</v>
      </c>
      <c r="F363" s="150" t="s">
        <v>913</v>
      </c>
      <c r="G363" s="146"/>
      <c r="H363" s="155"/>
      <c r="I363" s="135">
        <f t="shared" si="63"/>
        <v>0</v>
      </c>
      <c r="J363" s="147"/>
      <c r="K363" s="155">
        <v>1603.5098921226099</v>
      </c>
      <c r="L363" s="88">
        <f t="shared" si="64"/>
        <v>62.397419867210559</v>
      </c>
      <c r="M363" s="160">
        <v>100054.88</v>
      </c>
      <c r="N363" s="167">
        <v>2016</v>
      </c>
      <c r="O363" s="167">
        <f>IFERROR(('General Input Sheet'!$G$38/(VLOOKUP(N363,'General Input Sheet'!$E$38:$G$44,3,FALSE))),1)</f>
        <v>1</v>
      </c>
      <c r="P363" s="189">
        <f t="shared" si="56"/>
        <v>100054.88</v>
      </c>
      <c r="Q363" s="89" t="str">
        <f t="shared" si="65"/>
        <v/>
      </c>
      <c r="R363" s="89" t="str">
        <f t="shared" si="65"/>
        <v/>
      </c>
      <c r="S363" s="89" t="str">
        <f t="shared" si="65"/>
        <v>y</v>
      </c>
      <c r="T363" s="89" t="str">
        <f t="shared" si="65"/>
        <v/>
      </c>
      <c r="U363" s="254" t="str">
        <f t="shared" si="65"/>
        <v/>
      </c>
      <c r="V363" s="308"/>
      <c r="W363" s="309" t="str" cm="1">
        <f t="array" ref="W363">_xlfn.IFS(AND(Q363="y",$D363="Local"), 1, AND(Q363="y",$D363&lt;&gt;"Local"),1.49009696454663%, Q363="","")</f>
        <v/>
      </c>
      <c r="X363" s="272" t="str" cm="1">
        <f t="array" ref="X363">_xlfn.IFS(AND(R363="y",$D363="Local"), 1, AND(R363="y",$D363&lt;&gt;"Local"),20.7557554582461%, R363="","")</f>
        <v/>
      </c>
      <c r="Y363" s="272" cm="1">
        <f t="array" ref="Y363">_xlfn.IFS(AND(S363="y",$D363="Local"), 1, AND(S363="y",$D363&lt;&gt;"Local"),30.3499104327336%, S363="","")</f>
        <v>1</v>
      </c>
      <c r="Z363" s="272" t="str" cm="1">
        <f t="array" ref="Z363">_xlfn.IFS(AND(T363="y",$D363="Local"), 1, AND(T363="y",$D363&lt;&gt;"Local"),29.0043833288201%, T363="","")</f>
        <v/>
      </c>
      <c r="AA363" s="272" t="str" cm="1">
        <f t="array" ref="AA363">_xlfn.IFS(AND(U363="y",$D363="Local"), 1, AND(U363="y",$D363&lt;&gt;"Local"),18.3998538156536%, U363="","")</f>
        <v/>
      </c>
      <c r="AB363" s="68">
        <f t="shared" si="57"/>
        <v>1</v>
      </c>
      <c r="AD363" s="306" t="str">
        <f t="shared" si="58"/>
        <v/>
      </c>
      <c r="AE363" s="242" t="str">
        <f t="shared" si="59"/>
        <v/>
      </c>
      <c r="AF363" s="242">
        <f t="shared" si="60"/>
        <v>100054.88</v>
      </c>
      <c r="AG363" s="242" t="str">
        <f t="shared" si="61"/>
        <v/>
      </c>
      <c r="AH363" s="352" t="str">
        <f t="shared" si="62"/>
        <v/>
      </c>
    </row>
    <row r="364" spans="2:34">
      <c r="B364" s="166" t="s">
        <v>489</v>
      </c>
      <c r="C364" s="150"/>
      <c r="D364" s="150" t="s">
        <v>118</v>
      </c>
      <c r="E364" s="150" t="s">
        <v>141</v>
      </c>
      <c r="F364" s="150" t="s">
        <v>914</v>
      </c>
      <c r="G364" s="146">
        <v>56000</v>
      </c>
      <c r="H364" s="155">
        <v>569</v>
      </c>
      <c r="I364" s="135">
        <f t="shared" si="63"/>
        <v>45</v>
      </c>
      <c r="J364" s="147">
        <v>81605</v>
      </c>
      <c r="K364" s="155">
        <v>193.812702706274</v>
      </c>
      <c r="L364" s="88">
        <f t="shared" si="64"/>
        <v>737.96984409613708</v>
      </c>
      <c r="M364" s="160">
        <v>143027.93</v>
      </c>
      <c r="N364" s="167">
        <v>2016</v>
      </c>
      <c r="O364" s="167">
        <f>IFERROR(('General Input Sheet'!$G$38/(VLOOKUP(N364,'General Input Sheet'!$E$38:$G$44,3,FALSE))),1)</f>
        <v>1</v>
      </c>
      <c r="P364" s="189">
        <f t="shared" si="56"/>
        <v>224632.93</v>
      </c>
      <c r="Q364" s="89" t="str">
        <f t="shared" si="65"/>
        <v>y</v>
      </c>
      <c r="R364" s="89" t="str">
        <f t="shared" si="65"/>
        <v>y</v>
      </c>
      <c r="S364" s="89" t="str">
        <f t="shared" si="65"/>
        <v>y</v>
      </c>
      <c r="T364" s="89" t="str">
        <f t="shared" si="65"/>
        <v>y</v>
      </c>
      <c r="U364" s="254" t="str">
        <f t="shared" si="65"/>
        <v>y</v>
      </c>
      <c r="V364" s="308"/>
      <c r="W364" s="309" cm="1">
        <f t="array" ref="W364">_xlfn.IFS(AND(Q364="y",$D364="Local"), 1, AND(Q364="y",$D364&lt;&gt;"Local"),1.49009696454663%, Q364="","")</f>
        <v>1.49009696454663E-2</v>
      </c>
      <c r="X364" s="272" cm="1">
        <f t="array" ref="X364">_xlfn.IFS(AND(R364="y",$D364="Local"), 1, AND(R364="y",$D364&lt;&gt;"Local"),20.7557554582461%, R364="","")</f>
        <v>0.207557554582461</v>
      </c>
      <c r="Y364" s="272" cm="1">
        <f t="array" ref="Y364">_xlfn.IFS(AND(S364="y",$D364="Local"), 1, AND(S364="y",$D364&lt;&gt;"Local"),30.3499104327336%, S364="","")</f>
        <v>0.30349910432733601</v>
      </c>
      <c r="Z364" s="272" cm="1">
        <f t="array" ref="Z364">_xlfn.IFS(AND(T364="y",$D364="Local"), 1, AND(T364="y",$D364&lt;&gt;"Local"),29.0043833288201%, T364="","")</f>
        <v>0.29004383328820099</v>
      </c>
      <c r="AA364" s="272" cm="1">
        <f t="array" ref="AA364">_xlfn.IFS(AND(U364="y",$D364="Local"), 1, AND(U364="y",$D364&lt;&gt;"Local"),18.3998538156536%, U364="","")</f>
        <v>0.183998538156536</v>
      </c>
      <c r="AB364" s="68">
        <f t="shared" si="57"/>
        <v>1.0000000000000004</v>
      </c>
      <c r="AD364" s="306">
        <f t="shared" si="58"/>
        <v>3347.2484713021545</v>
      </c>
      <c r="AE364" s="242">
        <f t="shared" si="59"/>
        <v>46624.261629493121</v>
      </c>
      <c r="AF364" s="242">
        <f t="shared" si="60"/>
        <v>68175.893057425143</v>
      </c>
      <c r="AG364" s="242">
        <f t="shared" si="61"/>
        <v>65153.396099960097</v>
      </c>
      <c r="AH364" s="352">
        <f t="shared" si="62"/>
        <v>41332.130741819463</v>
      </c>
    </row>
    <row r="365" spans="2:34">
      <c r="B365" s="166" t="s">
        <v>490</v>
      </c>
      <c r="C365" s="150"/>
      <c r="D365" s="150" t="s">
        <v>116</v>
      </c>
      <c r="E365" s="150" t="s">
        <v>143</v>
      </c>
      <c r="F365" s="150" t="s">
        <v>915</v>
      </c>
      <c r="G365" s="146"/>
      <c r="H365" s="155"/>
      <c r="I365" s="135">
        <f t="shared" si="63"/>
        <v>0</v>
      </c>
      <c r="J365" s="147"/>
      <c r="K365" s="155">
        <v>686.37266306690401</v>
      </c>
      <c r="L365" s="88">
        <f t="shared" si="64"/>
        <v>119.0121116348097</v>
      </c>
      <c r="M365" s="160">
        <v>81686.66</v>
      </c>
      <c r="N365" s="167">
        <v>2016</v>
      </c>
      <c r="O365" s="167">
        <f>IFERROR(('General Input Sheet'!$G$38/(VLOOKUP(N365,'General Input Sheet'!$E$38:$G$44,3,FALSE))),1)</f>
        <v>1</v>
      </c>
      <c r="P365" s="189">
        <f t="shared" si="56"/>
        <v>81686.66</v>
      </c>
      <c r="Q365" s="89" t="str">
        <f t="shared" si="65"/>
        <v/>
      </c>
      <c r="R365" s="89" t="str">
        <f t="shared" si="65"/>
        <v/>
      </c>
      <c r="S365" s="89" t="str">
        <f t="shared" si="65"/>
        <v/>
      </c>
      <c r="T365" s="89" t="str">
        <f t="shared" si="65"/>
        <v/>
      </c>
      <c r="U365" s="254" t="str">
        <f t="shared" si="65"/>
        <v>y</v>
      </c>
      <c r="V365" s="308"/>
      <c r="W365" s="309" t="str" cm="1">
        <f t="array" ref="W365">_xlfn.IFS(AND(Q365="y",$D365="Local"), 1, AND(Q365="y",$D365&lt;&gt;"Local"),1.49009696454663%, Q365="","")</f>
        <v/>
      </c>
      <c r="X365" s="272" t="str" cm="1">
        <f t="array" ref="X365">_xlfn.IFS(AND(R365="y",$D365="Local"), 1, AND(R365="y",$D365&lt;&gt;"Local"),20.7557554582461%, R365="","")</f>
        <v/>
      </c>
      <c r="Y365" s="272" t="str" cm="1">
        <f t="array" ref="Y365">_xlfn.IFS(AND(S365="y",$D365="Local"), 1, AND(S365="y",$D365&lt;&gt;"Local"),30.3499104327336%, S365="","")</f>
        <v/>
      </c>
      <c r="Z365" s="272" t="str" cm="1">
        <f t="array" ref="Z365">_xlfn.IFS(AND(T365="y",$D365="Local"), 1, AND(T365="y",$D365&lt;&gt;"Local"),29.0043833288201%, T365="","")</f>
        <v/>
      </c>
      <c r="AA365" s="272" cm="1">
        <f t="array" ref="AA365">_xlfn.IFS(AND(U365="y",$D365="Local"), 1, AND(U365="y",$D365&lt;&gt;"Local"),18.3998538156536%, U365="","")</f>
        <v>1</v>
      </c>
      <c r="AB365" s="68">
        <f t="shared" si="57"/>
        <v>1</v>
      </c>
      <c r="AD365" s="306" t="str">
        <f t="shared" si="58"/>
        <v/>
      </c>
      <c r="AE365" s="242" t="str">
        <f t="shared" si="59"/>
        <v/>
      </c>
      <c r="AF365" s="242" t="str">
        <f t="shared" si="60"/>
        <v/>
      </c>
      <c r="AG365" s="242" t="str">
        <f t="shared" si="61"/>
        <v/>
      </c>
      <c r="AH365" s="352">
        <f t="shared" si="62"/>
        <v>81686.66</v>
      </c>
    </row>
    <row r="366" spans="2:34">
      <c r="B366" s="166" t="s">
        <v>491</v>
      </c>
      <c r="C366" s="150"/>
      <c r="D366" s="150" t="s">
        <v>116</v>
      </c>
      <c r="E366" s="150" t="s">
        <v>143</v>
      </c>
      <c r="F366" s="150" t="s">
        <v>916</v>
      </c>
      <c r="G366" s="146"/>
      <c r="H366" s="155"/>
      <c r="I366" s="135">
        <f t="shared" si="63"/>
        <v>0</v>
      </c>
      <c r="J366" s="147"/>
      <c r="K366" s="155">
        <v>72.147000928472096</v>
      </c>
      <c r="L366" s="88">
        <f t="shared" si="64"/>
        <v>775.42003520651087</v>
      </c>
      <c r="M366" s="160">
        <v>55944.23</v>
      </c>
      <c r="N366" s="167">
        <v>2016</v>
      </c>
      <c r="O366" s="167">
        <f>IFERROR(('General Input Sheet'!$G$38/(VLOOKUP(N366,'General Input Sheet'!$E$38:$G$44,3,FALSE))),1)</f>
        <v>1</v>
      </c>
      <c r="P366" s="189">
        <f t="shared" si="56"/>
        <v>55944.23</v>
      </c>
      <c r="Q366" s="89" t="str">
        <f t="shared" si="65"/>
        <v/>
      </c>
      <c r="R366" s="89" t="str">
        <f t="shared" si="65"/>
        <v/>
      </c>
      <c r="S366" s="89" t="str">
        <f t="shared" si="65"/>
        <v/>
      </c>
      <c r="T366" s="89" t="str">
        <f t="shared" si="65"/>
        <v/>
      </c>
      <c r="U366" s="254" t="str">
        <f t="shared" si="65"/>
        <v>y</v>
      </c>
      <c r="V366" s="308"/>
      <c r="W366" s="309" t="str" cm="1">
        <f t="array" ref="W366">_xlfn.IFS(AND(Q366="y",$D366="Local"), 1, AND(Q366="y",$D366&lt;&gt;"Local"),1.49009696454663%, Q366="","")</f>
        <v/>
      </c>
      <c r="X366" s="272" t="str" cm="1">
        <f t="array" ref="X366">_xlfn.IFS(AND(R366="y",$D366="Local"), 1, AND(R366="y",$D366&lt;&gt;"Local"),20.7557554582461%, R366="","")</f>
        <v/>
      </c>
      <c r="Y366" s="272" t="str" cm="1">
        <f t="array" ref="Y366">_xlfn.IFS(AND(S366="y",$D366="Local"), 1, AND(S366="y",$D366&lt;&gt;"Local"),30.3499104327336%, S366="","")</f>
        <v/>
      </c>
      <c r="Z366" s="272" t="str" cm="1">
        <f t="array" ref="Z366">_xlfn.IFS(AND(T366="y",$D366="Local"), 1, AND(T366="y",$D366&lt;&gt;"Local"),29.0043833288201%, T366="","")</f>
        <v/>
      </c>
      <c r="AA366" s="272" cm="1">
        <f t="array" ref="AA366">_xlfn.IFS(AND(U366="y",$D366="Local"), 1, AND(U366="y",$D366&lt;&gt;"Local"),18.3998538156536%, U366="","")</f>
        <v>1</v>
      </c>
      <c r="AB366" s="68">
        <f t="shared" si="57"/>
        <v>1</v>
      </c>
      <c r="AD366" s="306" t="str">
        <f t="shared" si="58"/>
        <v/>
      </c>
      <c r="AE366" s="242" t="str">
        <f t="shared" si="59"/>
        <v/>
      </c>
      <c r="AF366" s="242" t="str">
        <f t="shared" si="60"/>
        <v/>
      </c>
      <c r="AG366" s="242" t="str">
        <f t="shared" si="61"/>
        <v/>
      </c>
      <c r="AH366" s="352">
        <f t="shared" si="62"/>
        <v>55944.23</v>
      </c>
    </row>
    <row r="367" spans="2:34">
      <c r="B367" s="166" t="s">
        <v>492</v>
      </c>
      <c r="C367" s="150"/>
      <c r="D367" s="150" t="s">
        <v>116</v>
      </c>
      <c r="E367" s="150" t="s">
        <v>143</v>
      </c>
      <c r="F367" s="150" t="s">
        <v>917</v>
      </c>
      <c r="G367" s="146"/>
      <c r="H367" s="155"/>
      <c r="I367" s="135">
        <f t="shared" si="63"/>
        <v>0</v>
      </c>
      <c r="J367" s="147"/>
      <c r="K367" s="155">
        <v>68.491958095091107</v>
      </c>
      <c r="L367" s="88">
        <f t="shared" si="64"/>
        <v>775.32503781354126</v>
      </c>
      <c r="M367" s="160">
        <v>53103.53</v>
      </c>
      <c r="N367" s="167">
        <v>2016</v>
      </c>
      <c r="O367" s="167">
        <f>IFERROR(('General Input Sheet'!$G$38/(VLOOKUP(N367,'General Input Sheet'!$E$38:$G$44,3,FALSE))),1)</f>
        <v>1</v>
      </c>
      <c r="P367" s="189">
        <f t="shared" si="56"/>
        <v>53103.53</v>
      </c>
      <c r="Q367" s="89" t="str">
        <f t="shared" si="65"/>
        <v/>
      </c>
      <c r="R367" s="89" t="str">
        <f t="shared" si="65"/>
        <v/>
      </c>
      <c r="S367" s="89" t="str">
        <f t="shared" si="65"/>
        <v/>
      </c>
      <c r="T367" s="89" t="str">
        <f t="shared" si="65"/>
        <v/>
      </c>
      <c r="U367" s="254" t="str">
        <f t="shared" si="65"/>
        <v>y</v>
      </c>
      <c r="V367" s="308"/>
      <c r="W367" s="309" t="str" cm="1">
        <f t="array" ref="W367">_xlfn.IFS(AND(Q367="y",$D367="Local"), 1, AND(Q367="y",$D367&lt;&gt;"Local"),1.49009696454663%, Q367="","")</f>
        <v/>
      </c>
      <c r="X367" s="272" t="str" cm="1">
        <f t="array" ref="X367">_xlfn.IFS(AND(R367="y",$D367="Local"), 1, AND(R367="y",$D367&lt;&gt;"Local"),20.7557554582461%, R367="","")</f>
        <v/>
      </c>
      <c r="Y367" s="272" t="str" cm="1">
        <f t="array" ref="Y367">_xlfn.IFS(AND(S367="y",$D367="Local"), 1, AND(S367="y",$D367&lt;&gt;"Local"),30.3499104327336%, S367="","")</f>
        <v/>
      </c>
      <c r="Z367" s="272" t="str" cm="1">
        <f t="array" ref="Z367">_xlfn.IFS(AND(T367="y",$D367="Local"), 1, AND(T367="y",$D367&lt;&gt;"Local"),29.0043833288201%, T367="","")</f>
        <v/>
      </c>
      <c r="AA367" s="272" cm="1">
        <f t="array" ref="AA367">_xlfn.IFS(AND(U367="y",$D367="Local"), 1, AND(U367="y",$D367&lt;&gt;"Local"),18.3998538156536%, U367="","")</f>
        <v>1</v>
      </c>
      <c r="AB367" s="68">
        <f t="shared" si="57"/>
        <v>1</v>
      </c>
      <c r="AD367" s="306" t="str">
        <f t="shared" si="58"/>
        <v/>
      </c>
      <c r="AE367" s="242" t="str">
        <f t="shared" si="59"/>
        <v/>
      </c>
      <c r="AF367" s="242" t="str">
        <f t="shared" si="60"/>
        <v/>
      </c>
      <c r="AG367" s="242" t="str">
        <f t="shared" si="61"/>
        <v/>
      </c>
      <c r="AH367" s="352">
        <f t="shared" si="62"/>
        <v>53103.53</v>
      </c>
    </row>
    <row r="368" spans="2:34">
      <c r="B368" s="166" t="s">
        <v>493</v>
      </c>
      <c r="C368" s="150"/>
      <c r="D368" s="150" t="s">
        <v>116</v>
      </c>
      <c r="E368" s="150" t="s">
        <v>143</v>
      </c>
      <c r="F368" s="150" t="s">
        <v>918</v>
      </c>
      <c r="G368" s="146"/>
      <c r="H368" s="155"/>
      <c r="I368" s="135">
        <f t="shared" si="63"/>
        <v>0</v>
      </c>
      <c r="J368" s="147"/>
      <c r="K368" s="155">
        <v>64.825875122588698</v>
      </c>
      <c r="L368" s="88">
        <f t="shared" si="64"/>
        <v>775.36014600573628</v>
      </c>
      <c r="M368" s="160">
        <v>50263.4</v>
      </c>
      <c r="N368" s="167">
        <v>2016</v>
      </c>
      <c r="O368" s="167">
        <f>IFERROR(('General Input Sheet'!$G$38/(VLOOKUP(N368,'General Input Sheet'!$E$38:$G$44,3,FALSE))),1)</f>
        <v>1</v>
      </c>
      <c r="P368" s="189">
        <f t="shared" si="56"/>
        <v>50263.4</v>
      </c>
      <c r="Q368" s="89" t="str">
        <f t="shared" si="65"/>
        <v/>
      </c>
      <c r="R368" s="89" t="str">
        <f t="shared" si="65"/>
        <v/>
      </c>
      <c r="S368" s="89" t="str">
        <f t="shared" si="65"/>
        <v/>
      </c>
      <c r="T368" s="89" t="str">
        <f t="shared" si="65"/>
        <v/>
      </c>
      <c r="U368" s="254" t="str">
        <f t="shared" si="65"/>
        <v>y</v>
      </c>
      <c r="V368" s="308"/>
      <c r="W368" s="309" t="str" cm="1">
        <f t="array" ref="W368">_xlfn.IFS(AND(Q368="y",$D368="Local"), 1, AND(Q368="y",$D368&lt;&gt;"Local"),1.49009696454663%, Q368="","")</f>
        <v/>
      </c>
      <c r="X368" s="272" t="str" cm="1">
        <f t="array" ref="X368">_xlfn.IFS(AND(R368="y",$D368="Local"), 1, AND(R368="y",$D368&lt;&gt;"Local"),20.7557554582461%, R368="","")</f>
        <v/>
      </c>
      <c r="Y368" s="272" t="str" cm="1">
        <f t="array" ref="Y368">_xlfn.IFS(AND(S368="y",$D368="Local"), 1, AND(S368="y",$D368&lt;&gt;"Local"),30.3499104327336%, S368="","")</f>
        <v/>
      </c>
      <c r="Z368" s="272" t="str" cm="1">
        <f t="array" ref="Z368">_xlfn.IFS(AND(T368="y",$D368="Local"), 1, AND(T368="y",$D368&lt;&gt;"Local"),29.0043833288201%, T368="","")</f>
        <v/>
      </c>
      <c r="AA368" s="272" cm="1">
        <f t="array" ref="AA368">_xlfn.IFS(AND(U368="y",$D368="Local"), 1, AND(U368="y",$D368&lt;&gt;"Local"),18.3998538156536%, U368="","")</f>
        <v>1</v>
      </c>
      <c r="AB368" s="68">
        <f t="shared" si="57"/>
        <v>1</v>
      </c>
      <c r="AD368" s="306" t="str">
        <f t="shared" si="58"/>
        <v/>
      </c>
      <c r="AE368" s="242" t="str">
        <f t="shared" si="59"/>
        <v/>
      </c>
      <c r="AF368" s="242" t="str">
        <f t="shared" si="60"/>
        <v/>
      </c>
      <c r="AG368" s="242" t="str">
        <f t="shared" si="61"/>
        <v/>
      </c>
      <c r="AH368" s="353">
        <f t="shared" si="62"/>
        <v>50263.4</v>
      </c>
    </row>
    <row r="369" spans="2:34">
      <c r="B369" s="166" t="s">
        <v>494</v>
      </c>
      <c r="C369" s="150"/>
      <c r="D369" s="150" t="s">
        <v>118</v>
      </c>
      <c r="E369" s="150" t="s">
        <v>143</v>
      </c>
      <c r="F369" s="150" t="s">
        <v>919</v>
      </c>
      <c r="G369" s="146">
        <v>56000</v>
      </c>
      <c r="H369" s="155">
        <v>17750</v>
      </c>
      <c r="I369" s="135">
        <f t="shared" si="63"/>
        <v>45</v>
      </c>
      <c r="J369" s="147">
        <v>854750</v>
      </c>
      <c r="K369" s="155">
        <v>13441.094797588101</v>
      </c>
      <c r="L369" s="88">
        <f t="shared" si="64"/>
        <v>154.62588511561884</v>
      </c>
      <c r="M369" s="160">
        <v>2078341.18</v>
      </c>
      <c r="N369" s="167">
        <v>2016</v>
      </c>
      <c r="O369" s="167">
        <f>IFERROR(('General Input Sheet'!$G$38/(VLOOKUP(N369,'General Input Sheet'!$E$38:$G$44,3,FALSE))),1)</f>
        <v>1</v>
      </c>
      <c r="P369" s="189">
        <f t="shared" si="56"/>
        <v>2933091.1799999997</v>
      </c>
      <c r="Q369" s="89" t="str">
        <f t="shared" si="65"/>
        <v>y</v>
      </c>
      <c r="R369" s="89" t="str">
        <f t="shared" si="65"/>
        <v>y</v>
      </c>
      <c r="S369" s="89" t="str">
        <f t="shared" si="65"/>
        <v>y</v>
      </c>
      <c r="T369" s="89" t="str">
        <f t="shared" si="65"/>
        <v>y</v>
      </c>
      <c r="U369" s="254" t="str">
        <f t="shared" si="65"/>
        <v>y</v>
      </c>
      <c r="V369" s="308"/>
      <c r="W369" s="309" cm="1">
        <f t="array" ref="W369">_xlfn.IFS(AND(Q369="y",$D369="Local"), 1, AND(Q369="y",$D369&lt;&gt;"Local"),1.49009696454663%, Q369="","")</f>
        <v>1.49009696454663E-2</v>
      </c>
      <c r="X369" s="272" cm="1">
        <f t="array" ref="X369">_xlfn.IFS(AND(R369="y",$D369="Local"), 1, AND(R369="y",$D369&lt;&gt;"Local"),20.7557554582461%, R369="","")</f>
        <v>0.207557554582461</v>
      </c>
      <c r="Y369" s="272" cm="1">
        <f t="array" ref="Y369">_xlfn.IFS(AND(S369="y",$D369="Local"), 1, AND(S369="y",$D369&lt;&gt;"Local"),30.3499104327336%, S369="","")</f>
        <v>0.30349910432733601</v>
      </c>
      <c r="Z369" s="272" cm="1">
        <f t="array" ref="Z369">_xlfn.IFS(AND(T369="y",$D369="Local"), 1, AND(T369="y",$D369&lt;&gt;"Local"),29.0043833288201%, T369="","")</f>
        <v>0.29004383328820099</v>
      </c>
      <c r="AA369" s="272" cm="1">
        <f t="array" ref="AA369">_xlfn.IFS(AND(U369="y",$D369="Local"), 1, AND(U369="y",$D369&lt;&gt;"Local"),18.3998538156536%, U369="","")</f>
        <v>0.183998538156536</v>
      </c>
      <c r="AB369" s="68">
        <f t="shared" si="57"/>
        <v>1.0000000000000004</v>
      </c>
      <c r="AD369" s="306">
        <f t="shared" si="58"/>
        <v>43705.902640564906</v>
      </c>
      <c r="AE369" s="242">
        <f t="shared" si="59"/>
        <v>608785.23268818459</v>
      </c>
      <c r="AF369" s="242">
        <f t="shared" si="60"/>
        <v>890190.54604040866</v>
      </c>
      <c r="AG369" s="242">
        <f t="shared" si="61"/>
        <v>850725.00923101231</v>
      </c>
      <c r="AH369" s="353">
        <f t="shared" si="62"/>
        <v>539684.48939982883</v>
      </c>
    </row>
    <row r="370" spans="2:34">
      <c r="B370" s="166" t="s">
        <v>495</v>
      </c>
      <c r="C370" s="150"/>
      <c r="D370" s="150" t="s">
        <v>116</v>
      </c>
      <c r="E370" s="150" t="s">
        <v>143</v>
      </c>
      <c r="F370" s="150" t="s">
        <v>920</v>
      </c>
      <c r="G370" s="146"/>
      <c r="H370" s="155"/>
      <c r="I370" s="135">
        <f t="shared" si="63"/>
        <v>0</v>
      </c>
      <c r="J370" s="147"/>
      <c r="K370" s="155">
        <v>61.157698966200599</v>
      </c>
      <c r="L370" s="88">
        <f t="shared" si="64"/>
        <v>775.41782640005238</v>
      </c>
      <c r="M370" s="160">
        <v>47422.77</v>
      </c>
      <c r="N370" s="167">
        <v>2016</v>
      </c>
      <c r="O370" s="167">
        <f>IFERROR(('General Input Sheet'!$G$38/(VLOOKUP(N370,'General Input Sheet'!$E$38:$G$44,3,FALSE))),1)</f>
        <v>1</v>
      </c>
      <c r="P370" s="189">
        <f t="shared" si="56"/>
        <v>47422.77</v>
      </c>
      <c r="Q370" s="89" t="str">
        <f t="shared" si="65"/>
        <v/>
      </c>
      <c r="R370" s="89" t="str">
        <f t="shared" si="65"/>
        <v/>
      </c>
      <c r="S370" s="89" t="str">
        <f t="shared" si="65"/>
        <v/>
      </c>
      <c r="T370" s="89" t="str">
        <f t="shared" si="65"/>
        <v/>
      </c>
      <c r="U370" s="254" t="str">
        <f t="shared" si="65"/>
        <v>y</v>
      </c>
      <c r="V370" s="308"/>
      <c r="W370" s="309" t="str" cm="1">
        <f t="array" ref="W370">_xlfn.IFS(AND(Q370="y",$D370="Local"), 1, AND(Q370="y",$D370&lt;&gt;"Local"),1.49009696454663%, Q370="","")</f>
        <v/>
      </c>
      <c r="X370" s="272" t="str" cm="1">
        <f t="array" ref="X370">_xlfn.IFS(AND(R370="y",$D370="Local"), 1, AND(R370="y",$D370&lt;&gt;"Local"),20.7557554582461%, R370="","")</f>
        <v/>
      </c>
      <c r="Y370" s="272" t="str" cm="1">
        <f t="array" ref="Y370">_xlfn.IFS(AND(S370="y",$D370="Local"), 1, AND(S370="y",$D370&lt;&gt;"Local"),30.3499104327336%, S370="","")</f>
        <v/>
      </c>
      <c r="Z370" s="272" t="str" cm="1">
        <f t="array" ref="Z370">_xlfn.IFS(AND(T370="y",$D370="Local"), 1, AND(T370="y",$D370&lt;&gt;"Local"),29.0043833288201%, T370="","")</f>
        <v/>
      </c>
      <c r="AA370" s="272" cm="1">
        <f t="array" ref="AA370">_xlfn.IFS(AND(U370="y",$D370="Local"), 1, AND(U370="y",$D370&lt;&gt;"Local"),18.3998538156536%, U370="","")</f>
        <v>1</v>
      </c>
      <c r="AB370" s="68">
        <f t="shared" si="57"/>
        <v>1</v>
      </c>
      <c r="AD370" s="306" t="str">
        <f t="shared" si="58"/>
        <v/>
      </c>
      <c r="AE370" s="242" t="str">
        <f t="shared" si="59"/>
        <v/>
      </c>
      <c r="AF370" s="242" t="str">
        <f t="shared" si="60"/>
        <v/>
      </c>
      <c r="AG370" s="242" t="str">
        <f t="shared" si="61"/>
        <v/>
      </c>
      <c r="AH370" s="353">
        <f t="shared" si="62"/>
        <v>47422.77</v>
      </c>
    </row>
    <row r="371" spans="2:34">
      <c r="B371" s="166" t="s">
        <v>496</v>
      </c>
      <c r="C371" s="150"/>
      <c r="D371" s="150" t="s">
        <v>116</v>
      </c>
      <c r="E371" s="150" t="s">
        <v>143</v>
      </c>
      <c r="F371" s="150" t="s">
        <v>921</v>
      </c>
      <c r="G371" s="146"/>
      <c r="H371" s="155"/>
      <c r="I371" s="135">
        <f t="shared" si="63"/>
        <v>0</v>
      </c>
      <c r="J371" s="147"/>
      <c r="K371" s="155">
        <v>57.338469180809199</v>
      </c>
      <c r="L371" s="88">
        <f t="shared" si="64"/>
        <v>778.52340039347416</v>
      </c>
      <c r="M371" s="160">
        <v>44639.34</v>
      </c>
      <c r="N371" s="167">
        <v>2016</v>
      </c>
      <c r="O371" s="167">
        <f>IFERROR(('General Input Sheet'!$G$38/(VLOOKUP(N371,'General Input Sheet'!$E$38:$G$44,3,FALSE))),1)</f>
        <v>1</v>
      </c>
      <c r="P371" s="189">
        <f t="shared" si="56"/>
        <v>44639.34</v>
      </c>
      <c r="Q371" s="89" t="str">
        <f t="shared" si="65"/>
        <v/>
      </c>
      <c r="R371" s="89" t="str">
        <f t="shared" si="65"/>
        <v/>
      </c>
      <c r="S371" s="89" t="str">
        <f t="shared" si="65"/>
        <v/>
      </c>
      <c r="T371" s="89" t="str">
        <f t="shared" si="65"/>
        <v/>
      </c>
      <c r="U371" s="254" t="str">
        <f t="shared" si="65"/>
        <v>y</v>
      </c>
      <c r="V371" s="308"/>
      <c r="W371" s="309" t="str" cm="1">
        <f t="array" ref="W371">_xlfn.IFS(AND(Q371="y",$D371="Local"), 1, AND(Q371="y",$D371&lt;&gt;"Local"),1.49009696454663%, Q371="","")</f>
        <v/>
      </c>
      <c r="X371" s="272" t="str" cm="1">
        <f t="array" ref="X371">_xlfn.IFS(AND(R371="y",$D371="Local"), 1, AND(R371="y",$D371&lt;&gt;"Local"),20.7557554582461%, R371="","")</f>
        <v/>
      </c>
      <c r="Y371" s="272" t="str" cm="1">
        <f t="array" ref="Y371">_xlfn.IFS(AND(S371="y",$D371="Local"), 1, AND(S371="y",$D371&lt;&gt;"Local"),30.3499104327336%, S371="","")</f>
        <v/>
      </c>
      <c r="Z371" s="272" t="str" cm="1">
        <f t="array" ref="Z371">_xlfn.IFS(AND(T371="y",$D371="Local"), 1, AND(T371="y",$D371&lt;&gt;"Local"),29.0043833288201%, T371="","")</f>
        <v/>
      </c>
      <c r="AA371" s="272" cm="1">
        <f t="array" ref="AA371">_xlfn.IFS(AND(U371="y",$D371="Local"), 1, AND(U371="y",$D371&lt;&gt;"Local"),18.3998538156536%, U371="","")</f>
        <v>1</v>
      </c>
      <c r="AB371" s="68">
        <f t="shared" si="57"/>
        <v>1</v>
      </c>
      <c r="AD371" s="306" t="str">
        <f t="shared" si="58"/>
        <v/>
      </c>
      <c r="AE371" s="242" t="str">
        <f t="shared" si="59"/>
        <v/>
      </c>
      <c r="AF371" s="242" t="str">
        <f t="shared" si="60"/>
        <v/>
      </c>
      <c r="AG371" s="242" t="str">
        <f t="shared" si="61"/>
        <v/>
      </c>
      <c r="AH371" s="353">
        <f t="shared" si="62"/>
        <v>44639.34</v>
      </c>
    </row>
    <row r="372" spans="2:34">
      <c r="B372" s="166" t="s">
        <v>497</v>
      </c>
      <c r="C372" s="150"/>
      <c r="D372" s="150" t="s">
        <v>116</v>
      </c>
      <c r="E372" s="150" t="s">
        <v>143</v>
      </c>
      <c r="F372" s="150" t="s">
        <v>922</v>
      </c>
      <c r="G372" s="146"/>
      <c r="H372" s="155"/>
      <c r="I372" s="135">
        <f t="shared" si="63"/>
        <v>0</v>
      </c>
      <c r="J372" s="147"/>
      <c r="K372" s="155">
        <v>888.33020236967195</v>
      </c>
      <c r="L372" s="88">
        <f t="shared" si="64"/>
        <v>415.82508285165915</v>
      </c>
      <c r="M372" s="160">
        <v>369389.98</v>
      </c>
      <c r="N372" s="167">
        <v>2016</v>
      </c>
      <c r="O372" s="167">
        <f>IFERROR(('General Input Sheet'!$G$38/(VLOOKUP(N372,'General Input Sheet'!$E$38:$G$44,3,FALSE))),1)</f>
        <v>1</v>
      </c>
      <c r="P372" s="189">
        <f t="shared" si="56"/>
        <v>369389.98</v>
      </c>
      <c r="Q372" s="89" t="str">
        <f t="shared" si="65"/>
        <v/>
      </c>
      <c r="R372" s="89" t="str">
        <f t="shared" si="65"/>
        <v/>
      </c>
      <c r="S372" s="89" t="str">
        <f t="shared" si="65"/>
        <v/>
      </c>
      <c r="T372" s="89" t="str">
        <f t="shared" si="65"/>
        <v/>
      </c>
      <c r="U372" s="254" t="str">
        <f t="shared" si="65"/>
        <v>y</v>
      </c>
      <c r="V372" s="308"/>
      <c r="W372" s="309" t="str" cm="1">
        <f t="array" ref="W372">_xlfn.IFS(AND(Q372="y",$D372="Local"), 1, AND(Q372="y",$D372&lt;&gt;"Local"),1.49009696454663%, Q372="","")</f>
        <v/>
      </c>
      <c r="X372" s="272" t="str" cm="1">
        <f t="array" ref="X372">_xlfn.IFS(AND(R372="y",$D372="Local"), 1, AND(R372="y",$D372&lt;&gt;"Local"),20.7557554582461%, R372="","")</f>
        <v/>
      </c>
      <c r="Y372" s="272" t="str" cm="1">
        <f t="array" ref="Y372">_xlfn.IFS(AND(S372="y",$D372="Local"), 1, AND(S372="y",$D372&lt;&gt;"Local"),30.3499104327336%, S372="","")</f>
        <v/>
      </c>
      <c r="Z372" s="272" t="str" cm="1">
        <f t="array" ref="Z372">_xlfn.IFS(AND(T372="y",$D372="Local"), 1, AND(T372="y",$D372&lt;&gt;"Local"),29.0043833288201%, T372="","")</f>
        <v/>
      </c>
      <c r="AA372" s="272" cm="1">
        <f t="array" ref="AA372">_xlfn.IFS(AND(U372="y",$D372="Local"), 1, AND(U372="y",$D372&lt;&gt;"Local"),18.3998538156536%, U372="","")</f>
        <v>1</v>
      </c>
      <c r="AB372" s="68">
        <f t="shared" si="57"/>
        <v>1</v>
      </c>
      <c r="AD372" s="306" t="str">
        <f t="shared" si="58"/>
        <v/>
      </c>
      <c r="AE372" s="242" t="str">
        <f t="shared" si="59"/>
        <v/>
      </c>
      <c r="AF372" s="242" t="str">
        <f t="shared" si="60"/>
        <v/>
      </c>
      <c r="AG372" s="242" t="str">
        <f t="shared" si="61"/>
        <v/>
      </c>
      <c r="AH372" s="353">
        <f t="shared" si="62"/>
        <v>369389.98</v>
      </c>
    </row>
    <row r="373" spans="2:34">
      <c r="B373" s="166" t="s">
        <v>498</v>
      </c>
      <c r="C373" s="150"/>
      <c r="D373" s="150" t="s">
        <v>118</v>
      </c>
      <c r="E373" s="150" t="s">
        <v>143</v>
      </c>
      <c r="F373" s="150" t="s">
        <v>923</v>
      </c>
      <c r="G373" s="146">
        <v>56000</v>
      </c>
      <c r="H373" s="155">
        <v>6460</v>
      </c>
      <c r="I373" s="135">
        <f t="shared" si="63"/>
        <v>45</v>
      </c>
      <c r="J373" s="147">
        <v>346700</v>
      </c>
      <c r="K373" s="155">
        <v>4944.1608194905602</v>
      </c>
      <c r="L373" s="88">
        <f t="shared" si="64"/>
        <v>65.878769298115444</v>
      </c>
      <c r="M373" s="160">
        <v>325715.23</v>
      </c>
      <c r="N373" s="167">
        <v>2016</v>
      </c>
      <c r="O373" s="167">
        <f>IFERROR(('General Input Sheet'!$G$38/(VLOOKUP(N373,'General Input Sheet'!$E$38:$G$44,3,FALSE))),1)</f>
        <v>1</v>
      </c>
      <c r="P373" s="189">
        <f t="shared" si="56"/>
        <v>672415.23</v>
      </c>
      <c r="Q373" s="89" t="str">
        <f t="shared" si="65"/>
        <v>y</v>
      </c>
      <c r="R373" s="89" t="str">
        <f t="shared" si="65"/>
        <v>y</v>
      </c>
      <c r="S373" s="89" t="str">
        <f t="shared" si="65"/>
        <v>y</v>
      </c>
      <c r="T373" s="89" t="str">
        <f t="shared" si="65"/>
        <v>y</v>
      </c>
      <c r="U373" s="254" t="str">
        <f t="shared" si="65"/>
        <v>y</v>
      </c>
      <c r="V373" s="308"/>
      <c r="W373" s="309" cm="1">
        <f t="array" ref="W373">_xlfn.IFS(AND(Q373="y",$D373="Local"), 1, AND(Q373="y",$D373&lt;&gt;"Local"),1.49009696454663%, Q373="","")</f>
        <v>1.49009696454663E-2</v>
      </c>
      <c r="X373" s="272" cm="1">
        <f t="array" ref="X373">_xlfn.IFS(AND(R373="y",$D373="Local"), 1, AND(R373="y",$D373&lt;&gt;"Local"),20.7557554582461%, R373="","")</f>
        <v>0.207557554582461</v>
      </c>
      <c r="Y373" s="272" cm="1">
        <f t="array" ref="Y373">_xlfn.IFS(AND(S373="y",$D373="Local"), 1, AND(S373="y",$D373&lt;&gt;"Local"),30.3499104327336%, S373="","")</f>
        <v>0.30349910432733601</v>
      </c>
      <c r="Z373" s="272" cm="1">
        <f t="array" ref="Z373">_xlfn.IFS(AND(T373="y",$D373="Local"), 1, AND(T373="y",$D373&lt;&gt;"Local"),29.0043833288201%, T373="","")</f>
        <v>0.29004383328820099</v>
      </c>
      <c r="AA373" s="272" cm="1">
        <f t="array" ref="AA373">_xlfn.IFS(AND(U373="y",$D373="Local"), 1, AND(U373="y",$D373&lt;&gt;"Local"),18.3998538156536%, U373="","")</f>
        <v>0.183998538156536</v>
      </c>
      <c r="AB373" s="68">
        <f t="shared" si="57"/>
        <v>1.0000000000000004</v>
      </c>
      <c r="AD373" s="306">
        <f t="shared" si="58"/>
        <v>10019.638931379235</v>
      </c>
      <c r="AE373" s="242">
        <f t="shared" si="59"/>
        <v>139564.86080280301</v>
      </c>
      <c r="AF373" s="242">
        <f t="shared" si="60"/>
        <v>204077.42004105955</v>
      </c>
      <c r="AG373" s="242">
        <f t="shared" si="61"/>
        <v>195029.89087056724</v>
      </c>
      <c r="AH373" s="353">
        <f t="shared" si="62"/>
        <v>123723.41935419088</v>
      </c>
    </row>
    <row r="374" spans="2:34">
      <c r="B374" s="166" t="s">
        <v>499</v>
      </c>
      <c r="C374" s="150"/>
      <c r="D374" s="150" t="s">
        <v>116</v>
      </c>
      <c r="E374" s="150" t="s">
        <v>142</v>
      </c>
      <c r="F374" s="150" t="s">
        <v>924</v>
      </c>
      <c r="G374" s="146"/>
      <c r="H374" s="155"/>
      <c r="I374" s="135">
        <f t="shared" si="63"/>
        <v>0</v>
      </c>
      <c r="J374" s="147"/>
      <c r="K374" s="155">
        <v>459.47122792345198</v>
      </c>
      <c r="L374" s="88">
        <f t="shared" si="64"/>
        <v>402.95885519701289</v>
      </c>
      <c r="M374" s="160">
        <v>185148</v>
      </c>
      <c r="N374" s="167">
        <v>2016</v>
      </c>
      <c r="O374" s="167">
        <f>IFERROR(('General Input Sheet'!$G$38/(VLOOKUP(N374,'General Input Sheet'!$E$38:$G$44,3,FALSE))),1)</f>
        <v>1</v>
      </c>
      <c r="P374" s="189">
        <f t="shared" si="56"/>
        <v>185148</v>
      </c>
      <c r="Q374" s="89" t="str">
        <f t="shared" si="65"/>
        <v/>
      </c>
      <c r="R374" s="89" t="str">
        <f t="shared" si="65"/>
        <v/>
      </c>
      <c r="S374" s="89" t="str">
        <f t="shared" si="65"/>
        <v/>
      </c>
      <c r="T374" s="89" t="str">
        <f t="shared" si="65"/>
        <v>y</v>
      </c>
      <c r="U374" s="254" t="str">
        <f t="shared" si="65"/>
        <v/>
      </c>
      <c r="V374" s="308"/>
      <c r="W374" s="309" t="str" cm="1">
        <f t="array" ref="W374">_xlfn.IFS(AND(Q374="y",$D374="Local"), 1, AND(Q374="y",$D374&lt;&gt;"Local"),1.49009696454663%, Q374="","")</f>
        <v/>
      </c>
      <c r="X374" s="272" t="str" cm="1">
        <f t="array" ref="X374">_xlfn.IFS(AND(R374="y",$D374="Local"), 1, AND(R374="y",$D374&lt;&gt;"Local"),20.7557554582461%, R374="","")</f>
        <v/>
      </c>
      <c r="Y374" s="272" t="str" cm="1">
        <f t="array" ref="Y374">_xlfn.IFS(AND(S374="y",$D374="Local"), 1, AND(S374="y",$D374&lt;&gt;"Local"),30.3499104327336%, S374="","")</f>
        <v/>
      </c>
      <c r="Z374" s="272" cm="1">
        <f t="array" ref="Z374">_xlfn.IFS(AND(T374="y",$D374="Local"), 1, AND(T374="y",$D374&lt;&gt;"Local"),29.0043833288201%, T374="","")</f>
        <v>1</v>
      </c>
      <c r="AA374" s="272" t="str" cm="1">
        <f t="array" ref="AA374">_xlfn.IFS(AND(U374="y",$D374="Local"), 1, AND(U374="y",$D374&lt;&gt;"Local"),18.3998538156536%, U374="","")</f>
        <v/>
      </c>
      <c r="AB374" s="68">
        <f t="shared" si="57"/>
        <v>1</v>
      </c>
      <c r="AD374" s="306" t="str">
        <f t="shared" si="58"/>
        <v/>
      </c>
      <c r="AE374" s="242" t="str">
        <f t="shared" si="59"/>
        <v/>
      </c>
      <c r="AF374" s="242" t="str">
        <f t="shared" si="60"/>
        <v/>
      </c>
      <c r="AG374" s="242">
        <f t="shared" si="61"/>
        <v>185148</v>
      </c>
      <c r="AH374" s="353" t="str">
        <f t="shared" si="62"/>
        <v/>
      </c>
    </row>
    <row r="375" spans="2:34">
      <c r="B375" s="166" t="s">
        <v>500</v>
      </c>
      <c r="C375" s="150"/>
      <c r="D375" s="150" t="s">
        <v>118</v>
      </c>
      <c r="E375" s="150" t="s">
        <v>142</v>
      </c>
      <c r="F375" s="150" t="s">
        <v>925</v>
      </c>
      <c r="G375" s="146"/>
      <c r="H375" s="155"/>
      <c r="I375" s="135">
        <f t="shared" si="63"/>
        <v>0</v>
      </c>
      <c r="J375" s="147"/>
      <c r="K375" s="155">
        <v>856.09127250845995</v>
      </c>
      <c r="L375" s="88">
        <f t="shared" si="64"/>
        <v>146.22599718041505</v>
      </c>
      <c r="M375" s="160">
        <v>125182.8</v>
      </c>
      <c r="N375" s="167">
        <v>2016</v>
      </c>
      <c r="O375" s="167">
        <f>IFERROR(('General Input Sheet'!$G$38/(VLOOKUP(N375,'General Input Sheet'!$E$38:$G$44,3,FALSE))),1)</f>
        <v>1</v>
      </c>
      <c r="P375" s="189">
        <f t="shared" si="56"/>
        <v>125182.8</v>
      </c>
      <c r="Q375" s="89" t="str">
        <f t="shared" si="65"/>
        <v>y</v>
      </c>
      <c r="R375" s="89" t="str">
        <f t="shared" si="65"/>
        <v>y</v>
      </c>
      <c r="S375" s="89" t="str">
        <f t="shared" si="65"/>
        <v>y</v>
      </c>
      <c r="T375" s="89" t="str">
        <f t="shared" si="65"/>
        <v>y</v>
      </c>
      <c r="U375" s="254" t="str">
        <f t="shared" si="65"/>
        <v>y</v>
      </c>
      <c r="V375" s="308"/>
      <c r="W375" s="309" cm="1">
        <f t="array" ref="W375">_xlfn.IFS(AND(Q375="y",$D375="Local"), 1, AND(Q375="y",$D375&lt;&gt;"Local"),1.49009696454663%, Q375="","")</f>
        <v>1.49009696454663E-2</v>
      </c>
      <c r="X375" s="272" cm="1">
        <f t="array" ref="X375">_xlfn.IFS(AND(R375="y",$D375="Local"), 1, AND(R375="y",$D375&lt;&gt;"Local"),20.7557554582461%, R375="","")</f>
        <v>0.207557554582461</v>
      </c>
      <c r="Y375" s="272" cm="1">
        <f t="array" ref="Y375">_xlfn.IFS(AND(S375="y",$D375="Local"), 1, AND(S375="y",$D375&lt;&gt;"Local"),30.3499104327336%, S375="","")</f>
        <v>0.30349910432733601</v>
      </c>
      <c r="Z375" s="272" cm="1">
        <f t="array" ref="Z375">_xlfn.IFS(AND(T375="y",$D375="Local"), 1, AND(T375="y",$D375&lt;&gt;"Local"),29.0043833288201%, T375="","")</f>
        <v>0.29004383328820099</v>
      </c>
      <c r="AA375" s="272" cm="1">
        <f t="array" ref="AA375">_xlfn.IFS(AND(U375="y",$D375="Local"), 1, AND(U375="y",$D375&lt;&gt;"Local"),18.3998538156536%, U375="","")</f>
        <v>0.183998538156536</v>
      </c>
      <c r="AB375" s="68">
        <f t="shared" si="57"/>
        <v>1.0000000000000004</v>
      </c>
      <c r="AD375" s="306">
        <f t="shared" si="58"/>
        <v>1865.3451029344778</v>
      </c>
      <c r="AE375" s="242">
        <f t="shared" si="59"/>
        <v>25982.63584378529</v>
      </c>
      <c r="AF375" s="242">
        <f t="shared" si="60"/>
        <v>37992.867677188027</v>
      </c>
      <c r="AG375" s="242">
        <f t="shared" si="61"/>
        <v>36308.499173750191</v>
      </c>
      <c r="AH375" s="353">
        <f t="shared" si="62"/>
        <v>23033.452202342003</v>
      </c>
    </row>
    <row r="376" spans="2:34">
      <c r="B376" s="166" t="s">
        <v>501</v>
      </c>
      <c r="C376" s="150"/>
      <c r="D376" s="150" t="s">
        <v>118</v>
      </c>
      <c r="E376" s="150" t="s">
        <v>141</v>
      </c>
      <c r="F376" s="150" t="s">
        <v>926</v>
      </c>
      <c r="G376" s="146"/>
      <c r="H376" s="155"/>
      <c r="I376" s="135">
        <f t="shared" si="63"/>
        <v>0</v>
      </c>
      <c r="J376" s="147"/>
      <c r="K376" s="155">
        <v>10.342888499426699</v>
      </c>
      <c r="L376" s="88">
        <f t="shared" si="64"/>
        <v>874.84651898756817</v>
      </c>
      <c r="M376" s="160">
        <v>9048.44</v>
      </c>
      <c r="N376" s="167">
        <v>2016</v>
      </c>
      <c r="O376" s="167">
        <f>IFERROR(('General Input Sheet'!$G$38/(VLOOKUP(N376,'General Input Sheet'!$E$38:$G$44,3,FALSE))),1)</f>
        <v>1</v>
      </c>
      <c r="P376" s="189">
        <f t="shared" si="56"/>
        <v>9048.44</v>
      </c>
      <c r="Q376" s="89" t="str">
        <f t="shared" si="65"/>
        <v>y</v>
      </c>
      <c r="R376" s="89" t="str">
        <f t="shared" si="65"/>
        <v>y</v>
      </c>
      <c r="S376" s="89" t="str">
        <f t="shared" si="65"/>
        <v>y</v>
      </c>
      <c r="T376" s="89" t="str">
        <f t="shared" si="65"/>
        <v>y</v>
      </c>
      <c r="U376" s="254" t="str">
        <f t="shared" si="65"/>
        <v>y</v>
      </c>
      <c r="V376" s="308"/>
      <c r="W376" s="309" cm="1">
        <f t="array" ref="W376">_xlfn.IFS(AND(Q376="y",$D376="Local"), 1, AND(Q376="y",$D376&lt;&gt;"Local"),1.49009696454663%, Q376="","")</f>
        <v>1.49009696454663E-2</v>
      </c>
      <c r="X376" s="272" cm="1">
        <f t="array" ref="X376">_xlfn.IFS(AND(R376="y",$D376="Local"), 1, AND(R376="y",$D376&lt;&gt;"Local"),20.7557554582461%, R376="","")</f>
        <v>0.207557554582461</v>
      </c>
      <c r="Y376" s="272" cm="1">
        <f t="array" ref="Y376">_xlfn.IFS(AND(S376="y",$D376="Local"), 1, AND(S376="y",$D376&lt;&gt;"Local"),30.3499104327336%, S376="","")</f>
        <v>0.30349910432733601</v>
      </c>
      <c r="Z376" s="272" cm="1">
        <f t="array" ref="Z376">_xlfn.IFS(AND(T376="y",$D376="Local"), 1, AND(T376="y",$D376&lt;&gt;"Local"),29.0043833288201%, T376="","")</f>
        <v>0.29004383328820099</v>
      </c>
      <c r="AA376" s="272" cm="1">
        <f t="array" ref="AA376">_xlfn.IFS(AND(U376="y",$D376="Local"), 1, AND(U376="y",$D376&lt;&gt;"Local"),18.3998538156536%, U376="","")</f>
        <v>0.183998538156536</v>
      </c>
      <c r="AB376" s="68">
        <f t="shared" si="57"/>
        <v>1.0000000000000004</v>
      </c>
      <c r="AD376" s="306">
        <f t="shared" si="58"/>
        <v>134.83052977882303</v>
      </c>
      <c r="AE376" s="242">
        <f t="shared" si="59"/>
        <v>1878.0720791861227</v>
      </c>
      <c r="AF376" s="242">
        <f t="shared" si="60"/>
        <v>2746.1934355596395</v>
      </c>
      <c r="AG376" s="242">
        <f t="shared" si="61"/>
        <v>2624.4442228782887</v>
      </c>
      <c r="AH376" s="353">
        <f t="shared" si="62"/>
        <v>1664.8997325971259</v>
      </c>
    </row>
    <row r="377" spans="2:34">
      <c r="B377" s="166" t="s">
        <v>502</v>
      </c>
      <c r="C377" s="150"/>
      <c r="D377" s="150" t="s">
        <v>117</v>
      </c>
      <c r="E377" s="150" t="s">
        <v>141</v>
      </c>
      <c r="F377" s="150" t="s">
        <v>927</v>
      </c>
      <c r="G377" s="146"/>
      <c r="H377" s="155"/>
      <c r="I377" s="135">
        <f t="shared" si="63"/>
        <v>0</v>
      </c>
      <c r="J377" s="147"/>
      <c r="K377" s="155">
        <v>255.188642054166</v>
      </c>
      <c r="L377" s="88">
        <f t="shared" si="64"/>
        <v>353.81276875494865</v>
      </c>
      <c r="M377" s="160">
        <v>90289</v>
      </c>
      <c r="N377" s="167">
        <v>2016</v>
      </c>
      <c r="O377" s="167">
        <f>IFERROR(('General Input Sheet'!$G$38/(VLOOKUP(N377,'General Input Sheet'!$E$38:$G$44,3,FALSE))),1)</f>
        <v>1</v>
      </c>
      <c r="P377" s="189">
        <f t="shared" si="56"/>
        <v>90289</v>
      </c>
      <c r="Q377" s="89" t="str">
        <f t="shared" si="65"/>
        <v>y</v>
      </c>
      <c r="R377" s="89" t="str">
        <f t="shared" si="65"/>
        <v>y</v>
      </c>
      <c r="S377" s="89" t="str">
        <f t="shared" si="65"/>
        <v>y</v>
      </c>
      <c r="T377" s="89" t="str">
        <f t="shared" si="65"/>
        <v>y</v>
      </c>
      <c r="U377" s="254" t="str">
        <f t="shared" si="65"/>
        <v>y</v>
      </c>
      <c r="V377" s="308"/>
      <c r="W377" s="309" cm="1">
        <f t="array" ref="W377">_xlfn.IFS(AND(Q377="y",$D377="Local"), 1, AND(Q377="y",$D377&lt;&gt;"Local"),1.49009696454663%, Q377="","")</f>
        <v>1.49009696454663E-2</v>
      </c>
      <c r="X377" s="272" cm="1">
        <f t="array" ref="X377">_xlfn.IFS(AND(R377="y",$D377="Local"), 1, AND(R377="y",$D377&lt;&gt;"Local"),20.7557554582461%, R377="","")</f>
        <v>0.207557554582461</v>
      </c>
      <c r="Y377" s="272" cm="1">
        <f t="array" ref="Y377">_xlfn.IFS(AND(S377="y",$D377="Local"), 1, AND(S377="y",$D377&lt;&gt;"Local"),30.3499104327336%, S377="","")</f>
        <v>0.30349910432733601</v>
      </c>
      <c r="Z377" s="272" cm="1">
        <f t="array" ref="Z377">_xlfn.IFS(AND(T377="y",$D377="Local"), 1, AND(T377="y",$D377&lt;&gt;"Local"),29.0043833288201%, T377="","")</f>
        <v>0.29004383328820099</v>
      </c>
      <c r="AA377" s="272" cm="1">
        <f t="array" ref="AA377">_xlfn.IFS(AND(U377="y",$D377="Local"), 1, AND(U377="y",$D377&lt;&gt;"Local"),18.3998538156536%, U377="","")</f>
        <v>0.183998538156536</v>
      </c>
      <c r="AB377" s="68">
        <f t="shared" si="57"/>
        <v>1.0000000000000004</v>
      </c>
      <c r="AD377" s="306">
        <f t="shared" si="58"/>
        <v>1345.3936483195062</v>
      </c>
      <c r="AE377" s="242">
        <f t="shared" si="59"/>
        <v>18740.164045695812</v>
      </c>
      <c r="AF377" s="242">
        <f t="shared" si="60"/>
        <v>27402.630630610831</v>
      </c>
      <c r="AG377" s="242">
        <f t="shared" si="61"/>
        <v>26187.767663758368</v>
      </c>
      <c r="AH377" s="353">
        <f t="shared" si="62"/>
        <v>16613.044011615471</v>
      </c>
    </row>
    <row r="378" spans="2:34">
      <c r="B378" s="166" t="s">
        <v>503</v>
      </c>
      <c r="C378" s="150"/>
      <c r="D378" s="150" t="s">
        <v>118</v>
      </c>
      <c r="E378" s="150" t="s">
        <v>141</v>
      </c>
      <c r="F378" s="150" t="s">
        <v>928</v>
      </c>
      <c r="G378" s="146">
        <v>56000</v>
      </c>
      <c r="H378" s="155">
        <v>25000</v>
      </c>
      <c r="I378" s="135">
        <f t="shared" si="63"/>
        <v>45</v>
      </c>
      <c r="J378" s="147">
        <v>1181000</v>
      </c>
      <c r="K378" s="155">
        <v>4813.4693372002803</v>
      </c>
      <c r="L378" s="88">
        <f t="shared" si="64"/>
        <v>87.212713033333898</v>
      </c>
      <c r="M378" s="160">
        <v>419795.72</v>
      </c>
      <c r="N378" s="167">
        <v>2016</v>
      </c>
      <c r="O378" s="167">
        <f>IFERROR(('General Input Sheet'!$G$38/(VLOOKUP(N378,'General Input Sheet'!$E$38:$G$44,3,FALSE))),1)</f>
        <v>1</v>
      </c>
      <c r="P378" s="189">
        <f t="shared" si="56"/>
        <v>1600795.72</v>
      </c>
      <c r="Q378" s="89" t="str">
        <f t="shared" si="65"/>
        <v>y</v>
      </c>
      <c r="R378" s="89" t="str">
        <f t="shared" si="65"/>
        <v>y</v>
      </c>
      <c r="S378" s="89" t="str">
        <f t="shared" si="65"/>
        <v>y</v>
      </c>
      <c r="T378" s="89" t="str">
        <f t="shared" si="65"/>
        <v>y</v>
      </c>
      <c r="U378" s="254" t="str">
        <f t="shared" si="65"/>
        <v>y</v>
      </c>
      <c r="V378" s="308"/>
      <c r="W378" s="309" cm="1">
        <f t="array" ref="W378">_xlfn.IFS(AND(Q378="y",$D378="Local"), 1, AND(Q378="y",$D378&lt;&gt;"Local"),1.49009696454663%, Q378="","")</f>
        <v>1.49009696454663E-2</v>
      </c>
      <c r="X378" s="272" cm="1">
        <f t="array" ref="X378">_xlfn.IFS(AND(R378="y",$D378="Local"), 1, AND(R378="y",$D378&lt;&gt;"Local"),20.7557554582461%, R378="","")</f>
        <v>0.207557554582461</v>
      </c>
      <c r="Y378" s="272" cm="1">
        <f t="array" ref="Y378">_xlfn.IFS(AND(S378="y",$D378="Local"), 1, AND(S378="y",$D378&lt;&gt;"Local"),30.3499104327336%, S378="","")</f>
        <v>0.30349910432733601</v>
      </c>
      <c r="Z378" s="272" cm="1">
        <f t="array" ref="Z378">_xlfn.IFS(AND(T378="y",$D378="Local"), 1, AND(T378="y",$D378&lt;&gt;"Local"),29.0043833288201%, T378="","")</f>
        <v>0.29004383328820099</v>
      </c>
      <c r="AA378" s="272" cm="1">
        <f t="array" ref="AA378">_xlfn.IFS(AND(U378="y",$D378="Local"), 1, AND(U378="y",$D378&lt;&gt;"Local"),18.3998538156536%, U378="","")</f>
        <v>0.183998538156536</v>
      </c>
      <c r="AB378" s="68">
        <f t="shared" si="57"/>
        <v>1.0000000000000004</v>
      </c>
      <c r="AD378" s="306">
        <f t="shared" si="58"/>
        <v>23853.408432312361</v>
      </c>
      <c r="AE378" s="242">
        <f t="shared" si="59"/>
        <v>332257.24502926983</v>
      </c>
      <c r="AF378" s="242">
        <f t="shared" si="60"/>
        <v>485840.06723103276</v>
      </c>
      <c r="AG378" s="242">
        <f t="shared" si="61"/>
        <v>464300.92694014549</v>
      </c>
      <c r="AH378" s="353">
        <f t="shared" si="62"/>
        <v>294544.07236723939</v>
      </c>
    </row>
    <row r="379" spans="2:34">
      <c r="B379" s="166" t="s">
        <v>504</v>
      </c>
      <c r="C379" s="150"/>
      <c r="D379" s="150" t="s">
        <v>116</v>
      </c>
      <c r="E379" s="150" t="s">
        <v>141</v>
      </c>
      <c r="F379" s="150" t="s">
        <v>929</v>
      </c>
      <c r="G379" s="146"/>
      <c r="H379" s="155"/>
      <c r="I379" s="135">
        <f t="shared" si="63"/>
        <v>0</v>
      </c>
      <c r="J379" s="147"/>
      <c r="K379" s="155">
        <v>244.74641523972599</v>
      </c>
      <c r="L379" s="88">
        <f t="shared" si="64"/>
        <v>459.96616493742783</v>
      </c>
      <c r="M379" s="160">
        <v>112575.07</v>
      </c>
      <c r="N379" s="167">
        <v>2016</v>
      </c>
      <c r="O379" s="167">
        <f>IFERROR(('General Input Sheet'!$G$38/(VLOOKUP(N379,'General Input Sheet'!$E$38:$G$44,3,FALSE))),1)</f>
        <v>1</v>
      </c>
      <c r="P379" s="189">
        <f t="shared" si="56"/>
        <v>112575.07</v>
      </c>
      <c r="Q379" s="89" t="str">
        <f t="shared" si="65"/>
        <v/>
      </c>
      <c r="R379" s="89" t="str">
        <f t="shared" si="65"/>
        <v/>
      </c>
      <c r="S379" s="89" t="str">
        <f t="shared" si="65"/>
        <v>y</v>
      </c>
      <c r="T379" s="89" t="str">
        <f t="shared" si="65"/>
        <v/>
      </c>
      <c r="U379" s="254" t="str">
        <f t="shared" si="65"/>
        <v/>
      </c>
      <c r="V379" s="308"/>
      <c r="W379" s="309" t="str" cm="1">
        <f t="array" ref="W379">_xlfn.IFS(AND(Q379="y",$D379="Local"), 1, AND(Q379="y",$D379&lt;&gt;"Local"),1.49009696454663%, Q379="","")</f>
        <v/>
      </c>
      <c r="X379" s="272" t="str" cm="1">
        <f t="array" ref="X379">_xlfn.IFS(AND(R379="y",$D379="Local"), 1, AND(R379="y",$D379&lt;&gt;"Local"),20.7557554582461%, R379="","")</f>
        <v/>
      </c>
      <c r="Y379" s="272" cm="1">
        <f t="array" ref="Y379">_xlfn.IFS(AND(S379="y",$D379="Local"), 1, AND(S379="y",$D379&lt;&gt;"Local"),30.3499104327336%, S379="","")</f>
        <v>1</v>
      </c>
      <c r="Z379" s="272" t="str" cm="1">
        <f t="array" ref="Z379">_xlfn.IFS(AND(T379="y",$D379="Local"), 1, AND(T379="y",$D379&lt;&gt;"Local"),29.0043833288201%, T379="","")</f>
        <v/>
      </c>
      <c r="AA379" s="272" t="str" cm="1">
        <f t="array" ref="AA379">_xlfn.IFS(AND(U379="y",$D379="Local"), 1, AND(U379="y",$D379&lt;&gt;"Local"),18.3998538156536%, U379="","")</f>
        <v/>
      </c>
      <c r="AB379" s="68">
        <f t="shared" si="57"/>
        <v>1</v>
      </c>
      <c r="AD379" s="306" t="str">
        <f t="shared" si="58"/>
        <v/>
      </c>
      <c r="AE379" s="242" t="str">
        <f t="shared" si="59"/>
        <v/>
      </c>
      <c r="AF379" s="242">
        <f t="shared" si="60"/>
        <v>112575.07</v>
      </c>
      <c r="AG379" s="242" t="str">
        <f t="shared" si="61"/>
        <v/>
      </c>
      <c r="AH379" s="353" t="str">
        <f t="shared" si="62"/>
        <v/>
      </c>
    </row>
    <row r="380" spans="2:34">
      <c r="B380" s="166" t="s">
        <v>505</v>
      </c>
      <c r="C380" s="150"/>
      <c r="D380" s="150" t="s">
        <v>116</v>
      </c>
      <c r="E380" s="150" t="s">
        <v>143</v>
      </c>
      <c r="F380" s="150" t="s">
        <v>930</v>
      </c>
      <c r="G380" s="146"/>
      <c r="H380" s="155"/>
      <c r="I380" s="135">
        <f t="shared" si="63"/>
        <v>0</v>
      </c>
      <c r="J380" s="147"/>
      <c r="K380" s="155">
        <v>56.060528902188302</v>
      </c>
      <c r="L380" s="88">
        <f t="shared" si="64"/>
        <v>744.21202969370199</v>
      </c>
      <c r="M380" s="160">
        <v>41720.92</v>
      </c>
      <c r="N380" s="167">
        <v>2016</v>
      </c>
      <c r="O380" s="167">
        <f>IFERROR(('General Input Sheet'!$G$38/(VLOOKUP(N380,'General Input Sheet'!$E$38:$G$44,3,FALSE))),1)</f>
        <v>1</v>
      </c>
      <c r="P380" s="189">
        <f t="shared" si="56"/>
        <v>41720.92</v>
      </c>
      <c r="Q380" s="89" t="str">
        <f t="shared" si="65"/>
        <v/>
      </c>
      <c r="R380" s="89" t="str">
        <f t="shared" si="65"/>
        <v/>
      </c>
      <c r="S380" s="89" t="str">
        <f t="shared" si="65"/>
        <v/>
      </c>
      <c r="T380" s="89" t="str">
        <f t="shared" si="65"/>
        <v/>
      </c>
      <c r="U380" s="254" t="str">
        <f t="shared" si="65"/>
        <v>y</v>
      </c>
      <c r="V380" s="308"/>
      <c r="W380" s="309" t="str" cm="1">
        <f t="array" ref="W380">_xlfn.IFS(AND(Q380="y",$D380="Local"), 1, AND(Q380="y",$D380&lt;&gt;"Local"),1.49009696454663%, Q380="","")</f>
        <v/>
      </c>
      <c r="X380" s="272" t="str" cm="1">
        <f t="array" ref="X380">_xlfn.IFS(AND(R380="y",$D380="Local"), 1, AND(R380="y",$D380&lt;&gt;"Local"),20.7557554582461%, R380="","")</f>
        <v/>
      </c>
      <c r="Y380" s="272" t="str" cm="1">
        <f t="array" ref="Y380">_xlfn.IFS(AND(S380="y",$D380="Local"), 1, AND(S380="y",$D380&lt;&gt;"Local"),30.3499104327336%, S380="","")</f>
        <v/>
      </c>
      <c r="Z380" s="272" t="str" cm="1">
        <f t="array" ref="Z380">_xlfn.IFS(AND(T380="y",$D380="Local"), 1, AND(T380="y",$D380&lt;&gt;"Local"),29.0043833288201%, T380="","")</f>
        <v/>
      </c>
      <c r="AA380" s="272" cm="1">
        <f t="array" ref="AA380">_xlfn.IFS(AND(U380="y",$D380="Local"), 1, AND(U380="y",$D380&lt;&gt;"Local"),18.3998538156536%, U380="","")</f>
        <v>1</v>
      </c>
      <c r="AB380" s="68">
        <f t="shared" si="57"/>
        <v>1</v>
      </c>
      <c r="AD380" s="306" t="str">
        <f t="shared" si="58"/>
        <v/>
      </c>
      <c r="AE380" s="242" t="str">
        <f t="shared" si="59"/>
        <v/>
      </c>
      <c r="AF380" s="242" t="str">
        <f t="shared" si="60"/>
        <v/>
      </c>
      <c r="AG380" s="242" t="str">
        <f t="shared" si="61"/>
        <v/>
      </c>
      <c r="AH380" s="353">
        <f t="shared" si="62"/>
        <v>41720.92</v>
      </c>
    </row>
    <row r="381" spans="2:34">
      <c r="B381" s="166" t="s">
        <v>506</v>
      </c>
      <c r="C381" s="150"/>
      <c r="D381" s="150" t="s">
        <v>118</v>
      </c>
      <c r="E381" s="150" t="s">
        <v>141</v>
      </c>
      <c r="F381" s="150" t="s">
        <v>931</v>
      </c>
      <c r="G381" s="146"/>
      <c r="H381" s="155"/>
      <c r="I381" s="135">
        <f t="shared" si="63"/>
        <v>0</v>
      </c>
      <c r="J381" s="147"/>
      <c r="K381" s="155">
        <v>13.5078497182796</v>
      </c>
      <c r="L381" s="88">
        <f t="shared" si="64"/>
        <v>22.652013931272144</v>
      </c>
      <c r="M381" s="160">
        <v>305.98</v>
      </c>
      <c r="N381" s="167">
        <v>2016</v>
      </c>
      <c r="O381" s="167">
        <f>IFERROR(('General Input Sheet'!$G$38/(VLOOKUP(N381,'General Input Sheet'!$E$38:$G$44,3,FALSE))),1)</f>
        <v>1</v>
      </c>
      <c r="P381" s="189">
        <f t="shared" si="56"/>
        <v>305.98</v>
      </c>
      <c r="Q381" s="89" t="str">
        <f t="shared" si="65"/>
        <v>y</v>
      </c>
      <c r="R381" s="89" t="str">
        <f t="shared" si="65"/>
        <v>y</v>
      </c>
      <c r="S381" s="89" t="str">
        <f t="shared" si="65"/>
        <v>y</v>
      </c>
      <c r="T381" s="89" t="str">
        <f t="shared" si="65"/>
        <v>y</v>
      </c>
      <c r="U381" s="254" t="str">
        <f t="shared" si="65"/>
        <v>y</v>
      </c>
      <c r="V381" s="308"/>
      <c r="W381" s="309" cm="1">
        <f t="array" ref="W381">_xlfn.IFS(AND(Q381="y",$D381="Local"), 1, AND(Q381="y",$D381&lt;&gt;"Local"),1.49009696454663%, Q381="","")</f>
        <v>1.49009696454663E-2</v>
      </c>
      <c r="X381" s="272" cm="1">
        <f t="array" ref="X381">_xlfn.IFS(AND(R381="y",$D381="Local"), 1, AND(R381="y",$D381&lt;&gt;"Local"),20.7557554582461%, R381="","")</f>
        <v>0.207557554582461</v>
      </c>
      <c r="Y381" s="272" cm="1">
        <f t="array" ref="Y381">_xlfn.IFS(AND(S381="y",$D381="Local"), 1, AND(S381="y",$D381&lt;&gt;"Local"),30.3499104327336%, S381="","")</f>
        <v>0.30349910432733601</v>
      </c>
      <c r="Z381" s="272" cm="1">
        <f t="array" ref="Z381">_xlfn.IFS(AND(T381="y",$D381="Local"), 1, AND(T381="y",$D381&lt;&gt;"Local"),29.0043833288201%, T381="","")</f>
        <v>0.29004383328820099</v>
      </c>
      <c r="AA381" s="272" cm="1">
        <f t="array" ref="AA381">_xlfn.IFS(AND(U381="y",$D381="Local"), 1, AND(U381="y",$D381&lt;&gt;"Local"),18.3998538156536%, U381="","")</f>
        <v>0.183998538156536</v>
      </c>
      <c r="AB381" s="68">
        <f t="shared" si="57"/>
        <v>1.0000000000000004</v>
      </c>
      <c r="AD381" s="306">
        <f t="shared" si="58"/>
        <v>4.5593986921197764</v>
      </c>
      <c r="AE381" s="242">
        <f t="shared" si="59"/>
        <v>63.508460551141397</v>
      </c>
      <c r="AF381" s="242">
        <f t="shared" si="60"/>
        <v>92.864655942078244</v>
      </c>
      <c r="AG381" s="242">
        <f t="shared" si="61"/>
        <v>88.747612109523715</v>
      </c>
      <c r="AH381" s="353">
        <f t="shared" si="62"/>
        <v>56.299872705136863</v>
      </c>
    </row>
    <row r="382" spans="2:34">
      <c r="B382" s="166" t="s">
        <v>507</v>
      </c>
      <c r="C382" s="150"/>
      <c r="D382" s="150" t="s">
        <v>116</v>
      </c>
      <c r="E382" s="150" t="s">
        <v>143</v>
      </c>
      <c r="F382" s="150" t="s">
        <v>932</v>
      </c>
      <c r="G382" s="146"/>
      <c r="H382" s="155"/>
      <c r="I382" s="135">
        <f t="shared" si="63"/>
        <v>0</v>
      </c>
      <c r="J382" s="147"/>
      <c r="K382" s="155">
        <v>52.011179888876498</v>
      </c>
      <c r="L382" s="88">
        <f t="shared" si="64"/>
        <v>744.71815641859473</v>
      </c>
      <c r="M382" s="160">
        <v>38733.67</v>
      </c>
      <c r="N382" s="167">
        <v>2016</v>
      </c>
      <c r="O382" s="167">
        <f>IFERROR(('General Input Sheet'!$G$38/(VLOOKUP(N382,'General Input Sheet'!$E$38:$G$44,3,FALSE))),1)</f>
        <v>1</v>
      </c>
      <c r="P382" s="189">
        <f t="shared" si="56"/>
        <v>38733.67</v>
      </c>
      <c r="Q382" s="89" t="str">
        <f t="shared" si="65"/>
        <v/>
      </c>
      <c r="R382" s="89" t="str">
        <f t="shared" si="65"/>
        <v/>
      </c>
      <c r="S382" s="89" t="str">
        <f t="shared" si="65"/>
        <v/>
      </c>
      <c r="T382" s="89" t="str">
        <f t="shared" si="65"/>
        <v/>
      </c>
      <c r="U382" s="254" t="str">
        <f t="shared" si="65"/>
        <v>y</v>
      </c>
      <c r="V382" s="308"/>
      <c r="W382" s="309" t="str" cm="1">
        <f t="array" ref="W382">_xlfn.IFS(AND(Q382="y",$D382="Local"), 1, AND(Q382="y",$D382&lt;&gt;"Local"),1.49009696454663%, Q382="","")</f>
        <v/>
      </c>
      <c r="X382" s="272" t="str" cm="1">
        <f t="array" ref="X382">_xlfn.IFS(AND(R382="y",$D382="Local"), 1, AND(R382="y",$D382&lt;&gt;"Local"),20.7557554582461%, R382="","")</f>
        <v/>
      </c>
      <c r="Y382" s="272" t="str" cm="1">
        <f t="array" ref="Y382">_xlfn.IFS(AND(S382="y",$D382="Local"), 1, AND(S382="y",$D382&lt;&gt;"Local"),30.3499104327336%, S382="","")</f>
        <v/>
      </c>
      <c r="Z382" s="272" t="str" cm="1">
        <f t="array" ref="Z382">_xlfn.IFS(AND(T382="y",$D382="Local"), 1, AND(T382="y",$D382&lt;&gt;"Local"),29.0043833288201%, T382="","")</f>
        <v/>
      </c>
      <c r="AA382" s="272" cm="1">
        <f t="array" ref="AA382">_xlfn.IFS(AND(U382="y",$D382="Local"), 1, AND(U382="y",$D382&lt;&gt;"Local"),18.3998538156536%, U382="","")</f>
        <v>1</v>
      </c>
      <c r="AB382" s="68">
        <f t="shared" si="57"/>
        <v>1</v>
      </c>
      <c r="AD382" s="306" t="str">
        <f t="shared" si="58"/>
        <v/>
      </c>
      <c r="AE382" s="242" t="str">
        <f t="shared" si="59"/>
        <v/>
      </c>
      <c r="AF382" s="242" t="str">
        <f t="shared" si="60"/>
        <v/>
      </c>
      <c r="AG382" s="242" t="str">
        <f t="shared" si="61"/>
        <v/>
      </c>
      <c r="AH382" s="353">
        <f t="shared" si="62"/>
        <v>38733.67</v>
      </c>
    </row>
    <row r="383" spans="2:34">
      <c r="B383" s="166" t="s">
        <v>508</v>
      </c>
      <c r="C383" s="150"/>
      <c r="D383" s="150" t="s">
        <v>116</v>
      </c>
      <c r="E383" s="150" t="s">
        <v>143</v>
      </c>
      <c r="F383" s="150" t="s">
        <v>933</v>
      </c>
      <c r="G383" s="146"/>
      <c r="H383" s="155"/>
      <c r="I383" s="135">
        <f t="shared" si="63"/>
        <v>0</v>
      </c>
      <c r="J383" s="147"/>
      <c r="K383" s="155">
        <v>46.419741876607702</v>
      </c>
      <c r="L383" s="88">
        <f t="shared" si="64"/>
        <v>773.66177725554576</v>
      </c>
      <c r="M383" s="160">
        <v>35913.18</v>
      </c>
      <c r="N383" s="167">
        <v>2016</v>
      </c>
      <c r="O383" s="167">
        <f>IFERROR(('General Input Sheet'!$G$38/(VLOOKUP(N383,'General Input Sheet'!$E$38:$G$44,3,FALSE))),1)</f>
        <v>1</v>
      </c>
      <c r="P383" s="189">
        <f t="shared" si="56"/>
        <v>35913.18</v>
      </c>
      <c r="Q383" s="89" t="str">
        <f t="shared" si="65"/>
        <v/>
      </c>
      <c r="R383" s="89" t="str">
        <f t="shared" si="65"/>
        <v/>
      </c>
      <c r="S383" s="89" t="str">
        <f t="shared" si="65"/>
        <v/>
      </c>
      <c r="T383" s="89" t="str">
        <f t="shared" si="65"/>
        <v/>
      </c>
      <c r="U383" s="254" t="str">
        <f t="shared" si="65"/>
        <v>y</v>
      </c>
      <c r="V383" s="308"/>
      <c r="W383" s="309" t="str" cm="1">
        <f t="array" ref="W383">_xlfn.IFS(AND(Q383="y",$D383="Local"), 1, AND(Q383="y",$D383&lt;&gt;"Local"),1.49009696454663%, Q383="","")</f>
        <v/>
      </c>
      <c r="X383" s="272" t="str" cm="1">
        <f t="array" ref="X383">_xlfn.IFS(AND(R383="y",$D383="Local"), 1, AND(R383="y",$D383&lt;&gt;"Local"),20.7557554582461%, R383="","")</f>
        <v/>
      </c>
      <c r="Y383" s="272" t="str" cm="1">
        <f t="array" ref="Y383">_xlfn.IFS(AND(S383="y",$D383="Local"), 1, AND(S383="y",$D383&lt;&gt;"Local"),30.3499104327336%, S383="","")</f>
        <v/>
      </c>
      <c r="Z383" s="272" t="str" cm="1">
        <f t="array" ref="Z383">_xlfn.IFS(AND(T383="y",$D383="Local"), 1, AND(T383="y",$D383&lt;&gt;"Local"),29.0043833288201%, T383="","")</f>
        <v/>
      </c>
      <c r="AA383" s="272" cm="1">
        <f t="array" ref="AA383">_xlfn.IFS(AND(U383="y",$D383="Local"), 1, AND(U383="y",$D383&lt;&gt;"Local"),18.3998538156536%, U383="","")</f>
        <v>1</v>
      </c>
      <c r="AB383" s="68">
        <f t="shared" si="57"/>
        <v>1</v>
      </c>
      <c r="AD383" s="306" t="str">
        <f t="shared" si="58"/>
        <v/>
      </c>
      <c r="AE383" s="242" t="str">
        <f t="shared" si="59"/>
        <v/>
      </c>
      <c r="AF383" s="242" t="str">
        <f t="shared" si="60"/>
        <v/>
      </c>
      <c r="AG383" s="242" t="str">
        <f t="shared" si="61"/>
        <v/>
      </c>
      <c r="AH383" s="353">
        <f t="shared" si="62"/>
        <v>35913.18</v>
      </c>
    </row>
    <row r="384" spans="2:34">
      <c r="B384" s="166" t="s">
        <v>509</v>
      </c>
      <c r="C384" s="150"/>
      <c r="D384" s="150" t="s">
        <v>116</v>
      </c>
      <c r="E384" s="150" t="s">
        <v>143</v>
      </c>
      <c r="F384" s="150" t="s">
        <v>934</v>
      </c>
      <c r="G384" s="146"/>
      <c r="H384" s="155"/>
      <c r="I384" s="135">
        <f t="shared" si="63"/>
        <v>0</v>
      </c>
      <c r="J384" s="147"/>
      <c r="K384" s="155">
        <v>33.476137023182801</v>
      </c>
      <c r="L384" s="88">
        <f t="shared" si="64"/>
        <v>773.68783566824777</v>
      </c>
      <c r="M384" s="160">
        <v>25900.080000000002</v>
      </c>
      <c r="N384" s="167">
        <v>2016</v>
      </c>
      <c r="O384" s="167">
        <f>IFERROR(('General Input Sheet'!$G$38/(VLOOKUP(N384,'General Input Sheet'!$E$38:$G$44,3,FALSE))),1)</f>
        <v>1</v>
      </c>
      <c r="P384" s="189">
        <f t="shared" si="56"/>
        <v>25900.080000000002</v>
      </c>
      <c r="Q384" s="89" t="str">
        <f t="shared" si="65"/>
        <v/>
      </c>
      <c r="R384" s="89" t="str">
        <f t="shared" si="65"/>
        <v/>
      </c>
      <c r="S384" s="89" t="str">
        <f t="shared" si="65"/>
        <v/>
      </c>
      <c r="T384" s="89" t="str">
        <f t="shared" si="65"/>
        <v/>
      </c>
      <c r="U384" s="254" t="str">
        <f t="shared" si="65"/>
        <v>y</v>
      </c>
      <c r="V384" s="308"/>
      <c r="W384" s="309" t="str" cm="1">
        <f t="array" ref="W384">_xlfn.IFS(AND(Q384="y",$D384="Local"), 1, AND(Q384="y",$D384&lt;&gt;"Local"),1.49009696454663%, Q384="","")</f>
        <v/>
      </c>
      <c r="X384" s="272" t="str" cm="1">
        <f t="array" ref="X384">_xlfn.IFS(AND(R384="y",$D384="Local"), 1, AND(R384="y",$D384&lt;&gt;"Local"),20.7557554582461%, R384="","")</f>
        <v/>
      </c>
      <c r="Y384" s="272" t="str" cm="1">
        <f t="array" ref="Y384">_xlfn.IFS(AND(S384="y",$D384="Local"), 1, AND(S384="y",$D384&lt;&gt;"Local"),30.3499104327336%, S384="","")</f>
        <v/>
      </c>
      <c r="Z384" s="272" t="str" cm="1">
        <f t="array" ref="Z384">_xlfn.IFS(AND(T384="y",$D384="Local"), 1, AND(T384="y",$D384&lt;&gt;"Local"),29.0043833288201%, T384="","")</f>
        <v/>
      </c>
      <c r="AA384" s="272" cm="1">
        <f t="array" ref="AA384">_xlfn.IFS(AND(U384="y",$D384="Local"), 1, AND(U384="y",$D384&lt;&gt;"Local"),18.3998538156536%, U384="","")</f>
        <v>1</v>
      </c>
      <c r="AB384" s="68">
        <f t="shared" si="57"/>
        <v>1</v>
      </c>
      <c r="AD384" s="306" t="str">
        <f t="shared" si="58"/>
        <v/>
      </c>
      <c r="AE384" s="242" t="str">
        <f t="shared" si="59"/>
        <v/>
      </c>
      <c r="AF384" s="242" t="str">
        <f t="shared" si="60"/>
        <v/>
      </c>
      <c r="AG384" s="242" t="str">
        <f t="shared" si="61"/>
        <v/>
      </c>
      <c r="AH384" s="353">
        <f t="shared" si="62"/>
        <v>25900.080000000002</v>
      </c>
    </row>
    <row r="385" spans="2:34">
      <c r="B385" s="166" t="s">
        <v>510</v>
      </c>
      <c r="C385" s="150"/>
      <c r="D385" s="150" t="s">
        <v>116</v>
      </c>
      <c r="E385" s="150" t="s">
        <v>141</v>
      </c>
      <c r="F385" s="150" t="s">
        <v>935</v>
      </c>
      <c r="G385" s="146"/>
      <c r="H385" s="155"/>
      <c r="I385" s="135">
        <f t="shared" si="63"/>
        <v>0</v>
      </c>
      <c r="J385" s="147"/>
      <c r="K385" s="155">
        <v>915.87467265103896</v>
      </c>
      <c r="L385" s="88">
        <f t="shared" si="64"/>
        <v>49.541057695879644</v>
      </c>
      <c r="M385" s="160">
        <v>45373.4</v>
      </c>
      <c r="N385" s="167">
        <v>2016</v>
      </c>
      <c r="O385" s="167">
        <f>IFERROR(('General Input Sheet'!$G$38/(VLOOKUP(N385,'General Input Sheet'!$E$38:$G$44,3,FALSE))),1)</f>
        <v>1</v>
      </c>
      <c r="P385" s="189">
        <f t="shared" si="56"/>
        <v>45373.4</v>
      </c>
      <c r="Q385" s="89" t="str">
        <f t="shared" si="65"/>
        <v/>
      </c>
      <c r="R385" s="89" t="str">
        <f t="shared" si="65"/>
        <v/>
      </c>
      <c r="S385" s="89" t="str">
        <f t="shared" si="65"/>
        <v>y</v>
      </c>
      <c r="T385" s="89" t="str">
        <f t="shared" si="65"/>
        <v/>
      </c>
      <c r="U385" s="254" t="str">
        <f t="shared" si="65"/>
        <v/>
      </c>
      <c r="V385" s="308"/>
      <c r="W385" s="309" t="str" cm="1">
        <f t="array" ref="W385">_xlfn.IFS(AND(Q385="y",$D385="Local"), 1, AND(Q385="y",$D385&lt;&gt;"Local"),1.49009696454663%, Q385="","")</f>
        <v/>
      </c>
      <c r="X385" s="272" t="str" cm="1">
        <f t="array" ref="X385">_xlfn.IFS(AND(R385="y",$D385="Local"), 1, AND(R385="y",$D385&lt;&gt;"Local"),20.7557554582461%, R385="","")</f>
        <v/>
      </c>
      <c r="Y385" s="272" cm="1">
        <f t="array" ref="Y385">_xlfn.IFS(AND(S385="y",$D385="Local"), 1, AND(S385="y",$D385&lt;&gt;"Local"),30.3499104327336%, S385="","")</f>
        <v>1</v>
      </c>
      <c r="Z385" s="272" t="str" cm="1">
        <f t="array" ref="Z385">_xlfn.IFS(AND(T385="y",$D385="Local"), 1, AND(T385="y",$D385&lt;&gt;"Local"),29.0043833288201%, T385="","")</f>
        <v/>
      </c>
      <c r="AA385" s="272" t="str" cm="1">
        <f t="array" ref="AA385">_xlfn.IFS(AND(U385="y",$D385="Local"), 1, AND(U385="y",$D385&lt;&gt;"Local"),18.3998538156536%, U385="","")</f>
        <v/>
      </c>
      <c r="AB385" s="68">
        <f t="shared" si="57"/>
        <v>1</v>
      </c>
      <c r="AD385" s="306" t="str">
        <f t="shared" si="58"/>
        <v/>
      </c>
      <c r="AE385" s="242" t="str">
        <f t="shared" si="59"/>
        <v/>
      </c>
      <c r="AF385" s="242">
        <f t="shared" si="60"/>
        <v>45373.4</v>
      </c>
      <c r="AG385" s="242" t="str">
        <f t="shared" si="61"/>
        <v/>
      </c>
      <c r="AH385" s="353" t="str">
        <f t="shared" si="62"/>
        <v/>
      </c>
    </row>
    <row r="386" spans="2:34">
      <c r="B386" s="166" t="s">
        <v>511</v>
      </c>
      <c r="C386" s="150"/>
      <c r="D386" s="150" t="s">
        <v>117</v>
      </c>
      <c r="E386" s="150" t="s">
        <v>141</v>
      </c>
      <c r="F386" s="150" t="s">
        <v>936</v>
      </c>
      <c r="G386" s="146"/>
      <c r="H386" s="155"/>
      <c r="I386" s="135">
        <f t="shared" si="63"/>
        <v>0</v>
      </c>
      <c r="J386" s="147"/>
      <c r="K386" s="155">
        <v>158.025004016005</v>
      </c>
      <c r="L386" s="88">
        <f t="shared" si="64"/>
        <v>289.1251310797154</v>
      </c>
      <c r="M386" s="160">
        <v>45689</v>
      </c>
      <c r="N386" s="167">
        <v>2016</v>
      </c>
      <c r="O386" s="167">
        <f>IFERROR(('General Input Sheet'!$G$38/(VLOOKUP(N386,'General Input Sheet'!$E$38:$G$44,3,FALSE))),1)</f>
        <v>1</v>
      </c>
      <c r="P386" s="189">
        <f t="shared" si="56"/>
        <v>45689</v>
      </c>
      <c r="Q386" s="89" t="str">
        <f t="shared" si="65"/>
        <v>y</v>
      </c>
      <c r="R386" s="89" t="str">
        <f t="shared" si="65"/>
        <v>y</v>
      </c>
      <c r="S386" s="89" t="str">
        <f t="shared" si="65"/>
        <v>y</v>
      </c>
      <c r="T386" s="89" t="str">
        <f t="shared" si="65"/>
        <v>y</v>
      </c>
      <c r="U386" s="254" t="str">
        <f t="shared" si="65"/>
        <v>y</v>
      </c>
      <c r="V386" s="308"/>
      <c r="W386" s="309" cm="1">
        <f t="array" ref="W386">_xlfn.IFS(AND(Q386="y",$D386="Local"), 1, AND(Q386="y",$D386&lt;&gt;"Local"),1.49009696454663%, Q386="","")</f>
        <v>1.49009696454663E-2</v>
      </c>
      <c r="X386" s="272" cm="1">
        <f t="array" ref="X386">_xlfn.IFS(AND(R386="y",$D386="Local"), 1, AND(R386="y",$D386&lt;&gt;"Local"),20.7557554582461%, R386="","")</f>
        <v>0.207557554582461</v>
      </c>
      <c r="Y386" s="272" cm="1">
        <f t="array" ref="Y386">_xlfn.IFS(AND(S386="y",$D386="Local"), 1, AND(S386="y",$D386&lt;&gt;"Local"),30.3499104327336%, S386="","")</f>
        <v>0.30349910432733601</v>
      </c>
      <c r="Z386" s="272" cm="1">
        <f t="array" ref="Z386">_xlfn.IFS(AND(T386="y",$D386="Local"), 1, AND(T386="y",$D386&lt;&gt;"Local"),29.0043833288201%, T386="","")</f>
        <v>0.29004383328820099</v>
      </c>
      <c r="AA386" s="272" cm="1">
        <f t="array" ref="AA386">_xlfn.IFS(AND(U386="y",$D386="Local"), 1, AND(U386="y",$D386&lt;&gt;"Local"),18.3998538156536%, U386="","")</f>
        <v>0.183998538156536</v>
      </c>
      <c r="AB386" s="68">
        <f t="shared" si="57"/>
        <v>1.0000000000000004</v>
      </c>
      <c r="AD386" s="306">
        <f t="shared" si="58"/>
        <v>680.81040213170945</v>
      </c>
      <c r="AE386" s="242">
        <f t="shared" si="59"/>
        <v>9483.0971113180567</v>
      </c>
      <c r="AF386" s="242">
        <f t="shared" si="60"/>
        <v>13866.57057761165</v>
      </c>
      <c r="AG386" s="242">
        <f t="shared" si="61"/>
        <v>13251.81269910461</v>
      </c>
      <c r="AH386" s="353">
        <f t="shared" si="62"/>
        <v>8406.709209833969</v>
      </c>
    </row>
    <row r="387" spans="2:34">
      <c r="B387" s="166" t="s">
        <v>512</v>
      </c>
      <c r="C387" s="150"/>
      <c r="D387" s="150" t="s">
        <v>116</v>
      </c>
      <c r="E387" s="150" t="s">
        <v>143</v>
      </c>
      <c r="F387" s="150" t="s">
        <v>937</v>
      </c>
      <c r="G387" s="146">
        <v>56000</v>
      </c>
      <c r="H387" s="155">
        <v>6253</v>
      </c>
      <c r="I387" s="135">
        <f t="shared" si="63"/>
        <v>45</v>
      </c>
      <c r="J387" s="147">
        <v>337385</v>
      </c>
      <c r="K387" s="155">
        <v>762.14676383269602</v>
      </c>
      <c r="L387" s="88">
        <f t="shared" si="64"/>
        <v>65.573800705622048</v>
      </c>
      <c r="M387" s="160">
        <v>49976.86</v>
      </c>
      <c r="N387" s="167">
        <v>2016</v>
      </c>
      <c r="O387" s="167">
        <f>IFERROR(('General Input Sheet'!$G$38/(VLOOKUP(N387,'General Input Sheet'!$E$38:$G$44,3,FALSE))),1)</f>
        <v>1</v>
      </c>
      <c r="P387" s="189">
        <f t="shared" si="56"/>
        <v>387361.86</v>
      </c>
      <c r="Q387" s="89" t="str">
        <f t="shared" ref="Q387:U437" si="66">IF(OR(Q$9=$E387,$D387="Metropolitan",$D387="District"),"y","")</f>
        <v/>
      </c>
      <c r="R387" s="89" t="str">
        <f t="shared" si="66"/>
        <v/>
      </c>
      <c r="S387" s="89" t="str">
        <f t="shared" si="66"/>
        <v/>
      </c>
      <c r="T387" s="89" t="str">
        <f t="shared" si="66"/>
        <v/>
      </c>
      <c r="U387" s="254" t="str">
        <f t="shared" si="66"/>
        <v>y</v>
      </c>
      <c r="V387" s="308"/>
      <c r="W387" s="309" t="str" cm="1">
        <f t="array" ref="W387">_xlfn.IFS(AND(Q387="y",$D387="Local"), 1, AND(Q387="y",$D387&lt;&gt;"Local"),1.49009696454663%, Q387="","")</f>
        <v/>
      </c>
      <c r="X387" s="272" t="str" cm="1">
        <f t="array" ref="X387">_xlfn.IFS(AND(R387="y",$D387="Local"), 1, AND(R387="y",$D387&lt;&gt;"Local"),20.7557554582461%, R387="","")</f>
        <v/>
      </c>
      <c r="Y387" s="272" t="str" cm="1">
        <f t="array" ref="Y387">_xlfn.IFS(AND(S387="y",$D387="Local"), 1, AND(S387="y",$D387&lt;&gt;"Local"),30.3499104327336%, S387="","")</f>
        <v/>
      </c>
      <c r="Z387" s="272" t="str" cm="1">
        <f t="array" ref="Z387">_xlfn.IFS(AND(T387="y",$D387="Local"), 1, AND(T387="y",$D387&lt;&gt;"Local"),29.0043833288201%, T387="","")</f>
        <v/>
      </c>
      <c r="AA387" s="272" cm="1">
        <f t="array" ref="AA387">_xlfn.IFS(AND(U387="y",$D387="Local"), 1, AND(U387="y",$D387&lt;&gt;"Local"),18.3998538156536%, U387="","")</f>
        <v>1</v>
      </c>
      <c r="AB387" s="68">
        <f t="shared" si="57"/>
        <v>1</v>
      </c>
      <c r="AD387" s="306" t="str">
        <f t="shared" si="58"/>
        <v/>
      </c>
      <c r="AE387" s="242" t="str">
        <f t="shared" si="59"/>
        <v/>
      </c>
      <c r="AF387" s="242" t="str">
        <f t="shared" si="60"/>
        <v/>
      </c>
      <c r="AG387" s="242" t="str">
        <f t="shared" si="61"/>
        <v/>
      </c>
      <c r="AH387" s="353">
        <f t="shared" si="62"/>
        <v>387361.86</v>
      </c>
    </row>
    <row r="388" spans="2:34">
      <c r="B388" s="166" t="s">
        <v>513</v>
      </c>
      <c r="C388" s="150"/>
      <c r="D388" s="150" t="s">
        <v>118</v>
      </c>
      <c r="E388" s="150" t="s">
        <v>141</v>
      </c>
      <c r="F388" s="150" t="s">
        <v>938</v>
      </c>
      <c r="G388" s="146">
        <v>56000</v>
      </c>
      <c r="H388" s="155">
        <v>223</v>
      </c>
      <c r="I388" s="135">
        <f t="shared" si="63"/>
        <v>45</v>
      </c>
      <c r="J388" s="147">
        <v>66035</v>
      </c>
      <c r="K388" s="150"/>
      <c r="L388" s="88">
        <f t="shared" si="64"/>
        <v>0</v>
      </c>
      <c r="M388" s="160"/>
      <c r="N388" s="167">
        <v>2016</v>
      </c>
      <c r="O388" s="167">
        <f>IFERROR(('General Input Sheet'!$G$38/(VLOOKUP(N388,'General Input Sheet'!$E$38:$G$44,3,FALSE))),1)</f>
        <v>1</v>
      </c>
      <c r="P388" s="189">
        <f t="shared" si="56"/>
        <v>66035</v>
      </c>
      <c r="Q388" s="89" t="str">
        <f t="shared" si="66"/>
        <v>y</v>
      </c>
      <c r="R388" s="89" t="str">
        <f t="shared" si="66"/>
        <v>y</v>
      </c>
      <c r="S388" s="89" t="str">
        <f t="shared" si="66"/>
        <v>y</v>
      </c>
      <c r="T388" s="89" t="str">
        <f t="shared" si="66"/>
        <v>y</v>
      </c>
      <c r="U388" s="254" t="str">
        <f t="shared" si="66"/>
        <v>y</v>
      </c>
      <c r="V388" s="308"/>
      <c r="W388" s="309" cm="1">
        <f t="array" ref="W388">_xlfn.IFS(AND(Q388="y",$D388="Local"), 1, AND(Q388="y",$D388&lt;&gt;"Local"),1.49009696454663%, Q388="","")</f>
        <v>1.49009696454663E-2</v>
      </c>
      <c r="X388" s="272" cm="1">
        <f t="array" ref="X388">_xlfn.IFS(AND(R388="y",$D388="Local"), 1, AND(R388="y",$D388&lt;&gt;"Local"),20.7557554582461%, R388="","")</f>
        <v>0.207557554582461</v>
      </c>
      <c r="Y388" s="272" cm="1">
        <f t="array" ref="Y388">_xlfn.IFS(AND(S388="y",$D388="Local"), 1, AND(S388="y",$D388&lt;&gt;"Local"),30.3499104327336%, S388="","")</f>
        <v>0.30349910432733601</v>
      </c>
      <c r="Z388" s="272" cm="1">
        <f t="array" ref="Z388">_xlfn.IFS(AND(T388="y",$D388="Local"), 1, AND(T388="y",$D388&lt;&gt;"Local"),29.0043833288201%, T388="","")</f>
        <v>0.29004383328820099</v>
      </c>
      <c r="AA388" s="272" cm="1">
        <f t="array" ref="AA388">_xlfn.IFS(AND(U388="y",$D388="Local"), 1, AND(U388="y",$D388&lt;&gt;"Local"),18.3998538156536%, U388="","")</f>
        <v>0.183998538156536</v>
      </c>
      <c r="AB388" s="68">
        <f t="shared" si="57"/>
        <v>1.0000000000000004</v>
      </c>
      <c r="AD388" s="306">
        <f t="shared" si="58"/>
        <v>983.98553053836667</v>
      </c>
      <c r="AE388" s="242">
        <f t="shared" si="59"/>
        <v>13706.063116852807</v>
      </c>
      <c r="AF388" s="242">
        <f t="shared" si="60"/>
        <v>20041.563354255628</v>
      </c>
      <c r="AG388" s="242">
        <f t="shared" si="61"/>
        <v>19153.044531186344</v>
      </c>
      <c r="AH388" s="353">
        <f t="shared" si="62"/>
        <v>12150.343467166849</v>
      </c>
    </row>
    <row r="389" spans="2:34">
      <c r="B389" s="166" t="s">
        <v>514</v>
      </c>
      <c r="C389" s="150"/>
      <c r="D389" s="150" t="s">
        <v>116</v>
      </c>
      <c r="E389" s="150" t="s">
        <v>143</v>
      </c>
      <c r="F389" s="150" t="s">
        <v>939</v>
      </c>
      <c r="G389" s="146">
        <v>56000</v>
      </c>
      <c r="H389" s="155">
        <v>2398</v>
      </c>
      <c r="I389" s="135">
        <f t="shared" si="63"/>
        <v>45</v>
      </c>
      <c r="J389" s="147">
        <v>163910</v>
      </c>
      <c r="K389" s="150"/>
      <c r="L389" s="88">
        <f t="shared" si="64"/>
        <v>0</v>
      </c>
      <c r="M389" s="160"/>
      <c r="N389" s="167">
        <v>2016</v>
      </c>
      <c r="O389" s="167">
        <f>IFERROR(('General Input Sheet'!$G$38/(VLOOKUP(N389,'General Input Sheet'!$E$38:$G$44,3,FALSE))),1)</f>
        <v>1</v>
      </c>
      <c r="P389" s="186">
        <f t="shared" si="56"/>
        <v>163910</v>
      </c>
      <c r="Q389" s="89" t="str">
        <f t="shared" si="66"/>
        <v/>
      </c>
      <c r="R389" s="89" t="str">
        <f t="shared" si="66"/>
        <v/>
      </c>
      <c r="S389" s="89" t="str">
        <f t="shared" si="66"/>
        <v/>
      </c>
      <c r="T389" s="89" t="str">
        <f t="shared" si="66"/>
        <v/>
      </c>
      <c r="U389" s="254" t="str">
        <f t="shared" si="66"/>
        <v>y</v>
      </c>
      <c r="V389" s="308"/>
      <c r="W389" s="309" t="str" cm="1">
        <f t="array" ref="W389">_xlfn.IFS(AND(Q389="y",$D389="Local"), 1, AND(Q389="y",$D389&lt;&gt;"Local"),1.49009696454663%, Q389="","")</f>
        <v/>
      </c>
      <c r="X389" s="272" t="str" cm="1">
        <f t="array" ref="X389">_xlfn.IFS(AND(R389="y",$D389="Local"), 1, AND(R389="y",$D389&lt;&gt;"Local"),20.7557554582461%, R389="","")</f>
        <v/>
      </c>
      <c r="Y389" s="272" t="str" cm="1">
        <f t="array" ref="Y389">_xlfn.IFS(AND(S389="y",$D389="Local"), 1, AND(S389="y",$D389&lt;&gt;"Local"),30.3499104327336%, S389="","")</f>
        <v/>
      </c>
      <c r="Z389" s="272" t="str" cm="1">
        <f t="array" ref="Z389">_xlfn.IFS(AND(T389="y",$D389="Local"), 1, AND(T389="y",$D389&lt;&gt;"Local"),29.0043833288201%, T389="","")</f>
        <v/>
      </c>
      <c r="AA389" s="272" cm="1">
        <f t="array" ref="AA389">_xlfn.IFS(AND(U389="y",$D389="Local"), 1, AND(U389="y",$D389&lt;&gt;"Local"),18.3998538156536%, U389="","")</f>
        <v>1</v>
      </c>
      <c r="AB389" s="68">
        <f t="shared" si="57"/>
        <v>1</v>
      </c>
      <c r="AD389" s="306" t="str">
        <f t="shared" si="58"/>
        <v/>
      </c>
      <c r="AE389" s="242" t="str">
        <f t="shared" si="59"/>
        <v/>
      </c>
      <c r="AF389" s="242" t="str">
        <f t="shared" si="60"/>
        <v/>
      </c>
      <c r="AG389" s="242" t="str">
        <f t="shared" si="61"/>
        <v/>
      </c>
      <c r="AH389" s="353">
        <f t="shared" si="62"/>
        <v>163910</v>
      </c>
    </row>
    <row r="390" spans="2:34">
      <c r="B390" s="166" t="s">
        <v>515</v>
      </c>
      <c r="C390" s="150"/>
      <c r="D390" s="150" t="s">
        <v>116</v>
      </c>
      <c r="E390" s="150" t="s">
        <v>140</v>
      </c>
      <c r="F390" s="150" t="s">
        <v>940</v>
      </c>
      <c r="G390" s="146">
        <v>56000</v>
      </c>
      <c r="H390" s="155">
        <v>1012</v>
      </c>
      <c r="I390" s="135">
        <f t="shared" si="63"/>
        <v>45</v>
      </c>
      <c r="J390" s="147">
        <v>101540</v>
      </c>
      <c r="K390" s="150"/>
      <c r="L390" s="88">
        <f t="shared" si="64"/>
        <v>0</v>
      </c>
      <c r="M390" s="160"/>
      <c r="N390" s="167">
        <v>2016</v>
      </c>
      <c r="O390" s="167">
        <f>IFERROR(('General Input Sheet'!$G$38/(VLOOKUP(N390,'General Input Sheet'!$E$38:$G$44,3,FALSE))),1)</f>
        <v>1</v>
      </c>
      <c r="P390" s="186">
        <f t="shared" si="56"/>
        <v>101540</v>
      </c>
      <c r="Q390" s="89" t="str">
        <f t="shared" si="66"/>
        <v/>
      </c>
      <c r="R390" s="89" t="str">
        <f t="shared" si="66"/>
        <v>y</v>
      </c>
      <c r="S390" s="89" t="str">
        <f t="shared" si="66"/>
        <v/>
      </c>
      <c r="T390" s="89" t="str">
        <f t="shared" si="66"/>
        <v/>
      </c>
      <c r="U390" s="254" t="str">
        <f t="shared" si="66"/>
        <v/>
      </c>
      <c r="V390" s="308"/>
      <c r="W390" s="309" t="str" cm="1">
        <f t="array" ref="W390">_xlfn.IFS(AND(Q390="y",$D390="Local"), 1, AND(Q390="y",$D390&lt;&gt;"Local"),1.49009696454663%, Q390="","")</f>
        <v/>
      </c>
      <c r="X390" s="272" cm="1">
        <f t="array" ref="X390">_xlfn.IFS(AND(R390="y",$D390="Local"), 1, AND(R390="y",$D390&lt;&gt;"Local"),20.7557554582461%, R390="","")</f>
        <v>1</v>
      </c>
      <c r="Y390" s="272" t="str" cm="1">
        <f t="array" ref="Y390">_xlfn.IFS(AND(S390="y",$D390="Local"), 1, AND(S390="y",$D390&lt;&gt;"Local"),30.3499104327336%, S390="","")</f>
        <v/>
      </c>
      <c r="Z390" s="272" t="str" cm="1">
        <f t="array" ref="Z390">_xlfn.IFS(AND(T390="y",$D390="Local"), 1, AND(T390="y",$D390&lt;&gt;"Local"),29.0043833288201%, T390="","")</f>
        <v/>
      </c>
      <c r="AA390" s="272" t="str" cm="1">
        <f t="array" ref="AA390">_xlfn.IFS(AND(U390="y",$D390="Local"), 1, AND(U390="y",$D390&lt;&gt;"Local"),18.3998538156536%, U390="","")</f>
        <v/>
      </c>
      <c r="AB390" s="68">
        <f t="shared" si="57"/>
        <v>1</v>
      </c>
      <c r="AD390" s="306" t="str">
        <f t="shared" si="58"/>
        <v/>
      </c>
      <c r="AE390" s="242">
        <f t="shared" si="59"/>
        <v>101540</v>
      </c>
      <c r="AF390" s="242" t="str">
        <f t="shared" si="60"/>
        <v/>
      </c>
      <c r="AG390" s="242" t="str">
        <f t="shared" si="61"/>
        <v/>
      </c>
      <c r="AH390" s="353" t="str">
        <f t="shared" si="62"/>
        <v/>
      </c>
    </row>
    <row r="391" spans="2:34">
      <c r="B391" s="166" t="s">
        <v>516</v>
      </c>
      <c r="C391" s="150"/>
      <c r="D391" s="150" t="s">
        <v>118</v>
      </c>
      <c r="E391" s="150" t="s">
        <v>141</v>
      </c>
      <c r="F391" s="150" t="s">
        <v>940</v>
      </c>
      <c r="G391" s="146">
        <v>56000</v>
      </c>
      <c r="H391" s="155">
        <v>812</v>
      </c>
      <c r="I391" s="135">
        <f t="shared" si="63"/>
        <v>45</v>
      </c>
      <c r="J391" s="147">
        <v>92540</v>
      </c>
      <c r="K391" s="150"/>
      <c r="L391" s="88">
        <f t="shared" si="64"/>
        <v>0</v>
      </c>
      <c r="M391" s="160"/>
      <c r="N391" s="167">
        <v>2016</v>
      </c>
      <c r="O391" s="167">
        <f>IFERROR(('General Input Sheet'!$G$38/(VLOOKUP(N391,'General Input Sheet'!$E$38:$G$44,3,FALSE))),1)</f>
        <v>1</v>
      </c>
      <c r="P391" s="186">
        <f t="shared" si="56"/>
        <v>92540</v>
      </c>
      <c r="Q391" s="89" t="str">
        <f t="shared" si="66"/>
        <v>y</v>
      </c>
      <c r="R391" s="89" t="str">
        <f t="shared" si="66"/>
        <v>y</v>
      </c>
      <c r="S391" s="89" t="str">
        <f t="shared" si="66"/>
        <v>y</v>
      </c>
      <c r="T391" s="89" t="str">
        <f t="shared" si="66"/>
        <v>y</v>
      </c>
      <c r="U391" s="254" t="str">
        <f t="shared" si="66"/>
        <v>y</v>
      </c>
      <c r="V391" s="308"/>
      <c r="W391" s="309" cm="1">
        <f t="array" ref="W391">_xlfn.IFS(AND(Q391="y",$D391="Local"), 1, AND(Q391="y",$D391&lt;&gt;"Local"),1.49009696454663%, Q391="","")</f>
        <v>1.49009696454663E-2</v>
      </c>
      <c r="X391" s="272" cm="1">
        <f t="array" ref="X391">_xlfn.IFS(AND(R391="y",$D391="Local"), 1, AND(R391="y",$D391&lt;&gt;"Local"),20.7557554582461%, R391="","")</f>
        <v>0.207557554582461</v>
      </c>
      <c r="Y391" s="272" cm="1">
        <f t="array" ref="Y391">_xlfn.IFS(AND(S391="y",$D391="Local"), 1, AND(S391="y",$D391&lt;&gt;"Local"),30.3499104327336%, S391="","")</f>
        <v>0.30349910432733601</v>
      </c>
      <c r="Z391" s="272" cm="1">
        <f t="array" ref="Z391">_xlfn.IFS(AND(T391="y",$D391="Local"), 1, AND(T391="y",$D391&lt;&gt;"Local"),29.0043833288201%, T391="","")</f>
        <v>0.29004383328820099</v>
      </c>
      <c r="AA391" s="272" cm="1">
        <f t="array" ref="AA391">_xlfn.IFS(AND(U391="y",$D391="Local"), 1, AND(U391="y",$D391&lt;&gt;"Local"),18.3998538156536%, U391="","")</f>
        <v>0.183998538156536</v>
      </c>
      <c r="AB391" s="68">
        <f t="shared" si="57"/>
        <v>1.0000000000000004</v>
      </c>
      <c r="AD391" s="306">
        <f t="shared" si="58"/>
        <v>1378.9357309914508</v>
      </c>
      <c r="AE391" s="242">
        <f t="shared" si="59"/>
        <v>19207.376101060934</v>
      </c>
      <c r="AF391" s="242">
        <f t="shared" si="60"/>
        <v>28085.807114451665</v>
      </c>
      <c r="AG391" s="242">
        <f t="shared" si="61"/>
        <v>26840.656332490111</v>
      </c>
      <c r="AH391" s="353">
        <f t="shared" si="62"/>
        <v>17027.224721005834</v>
      </c>
    </row>
    <row r="392" spans="2:34">
      <c r="B392" s="166" t="s">
        <v>517</v>
      </c>
      <c r="C392" s="150"/>
      <c r="D392" s="150" t="s">
        <v>118</v>
      </c>
      <c r="E392" s="150" t="s">
        <v>141</v>
      </c>
      <c r="F392" s="150" t="s">
        <v>941</v>
      </c>
      <c r="G392" s="146">
        <v>56000</v>
      </c>
      <c r="H392" s="155">
        <v>8455</v>
      </c>
      <c r="I392" s="135">
        <f t="shared" si="63"/>
        <v>45</v>
      </c>
      <c r="J392" s="147">
        <v>436475</v>
      </c>
      <c r="K392" s="150"/>
      <c r="L392" s="88">
        <f t="shared" si="64"/>
        <v>0</v>
      </c>
      <c r="M392" s="160"/>
      <c r="N392" s="167">
        <v>2016</v>
      </c>
      <c r="O392" s="167">
        <f>IFERROR(('General Input Sheet'!$G$38/(VLOOKUP(N392,'General Input Sheet'!$E$38:$G$44,3,FALSE))),1)</f>
        <v>1</v>
      </c>
      <c r="P392" s="186">
        <f t="shared" si="56"/>
        <v>436475</v>
      </c>
      <c r="Q392" s="89" t="str">
        <f t="shared" si="66"/>
        <v>y</v>
      </c>
      <c r="R392" s="89" t="str">
        <f t="shared" si="66"/>
        <v>y</v>
      </c>
      <c r="S392" s="89" t="str">
        <f t="shared" si="66"/>
        <v>y</v>
      </c>
      <c r="T392" s="89" t="str">
        <f t="shared" si="66"/>
        <v>y</v>
      </c>
      <c r="U392" s="254" t="str">
        <f t="shared" si="66"/>
        <v>y</v>
      </c>
      <c r="V392" s="308"/>
      <c r="W392" s="309" cm="1">
        <f t="array" ref="W392">_xlfn.IFS(AND(Q392="y",$D392="Local"), 1, AND(Q392="y",$D392&lt;&gt;"Local"),1.49009696454663%, Q392="","")</f>
        <v>1.49009696454663E-2</v>
      </c>
      <c r="X392" s="272" cm="1">
        <f t="array" ref="X392">_xlfn.IFS(AND(R392="y",$D392="Local"), 1, AND(R392="y",$D392&lt;&gt;"Local"),20.7557554582461%, R392="","")</f>
        <v>0.207557554582461</v>
      </c>
      <c r="Y392" s="272" cm="1">
        <f t="array" ref="Y392">_xlfn.IFS(AND(S392="y",$D392="Local"), 1, AND(S392="y",$D392&lt;&gt;"Local"),30.3499104327336%, S392="","")</f>
        <v>0.30349910432733601</v>
      </c>
      <c r="Z392" s="272" cm="1">
        <f t="array" ref="Z392">_xlfn.IFS(AND(T392="y",$D392="Local"), 1, AND(T392="y",$D392&lt;&gt;"Local"),29.0043833288201%, T392="","")</f>
        <v>0.29004383328820099</v>
      </c>
      <c r="AA392" s="272" cm="1">
        <f t="array" ref="AA392">_xlfn.IFS(AND(U392="y",$D392="Local"), 1, AND(U392="y",$D392&lt;&gt;"Local"),18.3998538156536%, U392="","")</f>
        <v>0.183998538156536</v>
      </c>
      <c r="AB392" s="68">
        <f t="shared" si="57"/>
        <v>1.0000000000000004</v>
      </c>
      <c r="AD392" s="306">
        <f t="shared" si="58"/>
        <v>6503.9007260049002</v>
      </c>
      <c r="AE392" s="242">
        <f t="shared" si="59"/>
        <v>90593.683636379632</v>
      </c>
      <c r="AF392" s="242">
        <f t="shared" si="60"/>
        <v>132469.77156127393</v>
      </c>
      <c r="AG392" s="242">
        <f t="shared" si="61"/>
        <v>126596.88213446748</v>
      </c>
      <c r="AH392" s="353">
        <f t="shared" si="62"/>
        <v>80310.761941874007</v>
      </c>
    </row>
    <row r="393" spans="2:34">
      <c r="B393" s="166" t="s">
        <v>518</v>
      </c>
      <c r="C393" s="150"/>
      <c r="D393" s="150" t="s">
        <v>116</v>
      </c>
      <c r="E393" s="150" t="s">
        <v>141</v>
      </c>
      <c r="F393" s="150" t="s">
        <v>939</v>
      </c>
      <c r="G393" s="146">
        <v>56000</v>
      </c>
      <c r="H393" s="155">
        <v>1255</v>
      </c>
      <c r="I393" s="135">
        <f t="shared" si="63"/>
        <v>45</v>
      </c>
      <c r="J393" s="147">
        <v>112475</v>
      </c>
      <c r="K393" s="150"/>
      <c r="L393" s="88">
        <f t="shared" si="64"/>
        <v>0</v>
      </c>
      <c r="M393" s="160"/>
      <c r="N393" s="167">
        <v>2016</v>
      </c>
      <c r="O393" s="167">
        <f>IFERROR(('General Input Sheet'!$G$38/(VLOOKUP(N393,'General Input Sheet'!$E$38:$G$44,3,FALSE))),1)</f>
        <v>1</v>
      </c>
      <c r="P393" s="186">
        <f t="shared" si="56"/>
        <v>112475</v>
      </c>
      <c r="Q393" s="89" t="str">
        <f t="shared" si="66"/>
        <v/>
      </c>
      <c r="R393" s="89" t="str">
        <f t="shared" si="66"/>
        <v/>
      </c>
      <c r="S393" s="89" t="str">
        <f t="shared" si="66"/>
        <v>y</v>
      </c>
      <c r="T393" s="89" t="str">
        <f t="shared" si="66"/>
        <v/>
      </c>
      <c r="U393" s="254" t="str">
        <f t="shared" si="66"/>
        <v/>
      </c>
      <c r="V393" s="308"/>
      <c r="W393" s="309" t="str" cm="1">
        <f t="array" ref="W393">_xlfn.IFS(AND(Q393="y",$D393="Local"), 1, AND(Q393="y",$D393&lt;&gt;"Local"),1.49009696454663%, Q393="","")</f>
        <v/>
      </c>
      <c r="X393" s="272" t="str" cm="1">
        <f t="array" ref="X393">_xlfn.IFS(AND(R393="y",$D393="Local"), 1, AND(R393="y",$D393&lt;&gt;"Local"),20.7557554582461%, R393="","")</f>
        <v/>
      </c>
      <c r="Y393" s="272" cm="1">
        <f t="array" ref="Y393">_xlfn.IFS(AND(S393="y",$D393="Local"), 1, AND(S393="y",$D393&lt;&gt;"Local"),30.3499104327336%, S393="","")</f>
        <v>1</v>
      </c>
      <c r="Z393" s="272" t="str" cm="1">
        <f t="array" ref="Z393">_xlfn.IFS(AND(T393="y",$D393="Local"), 1, AND(T393="y",$D393&lt;&gt;"Local"),29.0043833288201%, T393="","")</f>
        <v/>
      </c>
      <c r="AA393" s="272" t="str" cm="1">
        <f t="array" ref="AA393">_xlfn.IFS(AND(U393="y",$D393="Local"), 1, AND(U393="y",$D393&lt;&gt;"Local"),18.3998538156536%, U393="","")</f>
        <v/>
      </c>
      <c r="AB393" s="68">
        <f t="shared" si="57"/>
        <v>1</v>
      </c>
      <c r="AD393" s="306" t="str">
        <f t="shared" si="58"/>
        <v/>
      </c>
      <c r="AE393" s="242" t="str">
        <f t="shared" si="59"/>
        <v/>
      </c>
      <c r="AF393" s="242">
        <f t="shared" si="60"/>
        <v>112475</v>
      </c>
      <c r="AG393" s="242" t="str">
        <f t="shared" si="61"/>
        <v/>
      </c>
      <c r="AH393" s="353" t="str">
        <f t="shared" si="62"/>
        <v/>
      </c>
    </row>
    <row r="394" spans="2:34">
      <c r="B394" s="166" t="s">
        <v>519</v>
      </c>
      <c r="C394" s="150"/>
      <c r="D394" s="150" t="s">
        <v>118</v>
      </c>
      <c r="E394" s="150" t="s">
        <v>140</v>
      </c>
      <c r="F394" s="150" t="s">
        <v>940</v>
      </c>
      <c r="G394" s="146">
        <v>56000</v>
      </c>
      <c r="H394" s="155">
        <v>6145</v>
      </c>
      <c r="I394" s="135">
        <f t="shared" si="63"/>
        <v>45</v>
      </c>
      <c r="J394" s="147">
        <v>332525</v>
      </c>
      <c r="K394" s="150"/>
      <c r="L394" s="88">
        <f t="shared" si="64"/>
        <v>0</v>
      </c>
      <c r="M394" s="160"/>
      <c r="N394" s="167">
        <v>2016</v>
      </c>
      <c r="O394" s="167">
        <f>IFERROR(('General Input Sheet'!$G$38/(VLOOKUP(N394,'General Input Sheet'!$E$38:$G$44,3,FALSE))),1)</f>
        <v>1</v>
      </c>
      <c r="P394" s="189">
        <f t="shared" si="56"/>
        <v>332525</v>
      </c>
      <c r="Q394" s="89" t="str">
        <f t="shared" si="66"/>
        <v>y</v>
      </c>
      <c r="R394" s="89" t="str">
        <f t="shared" si="66"/>
        <v>y</v>
      </c>
      <c r="S394" s="89" t="str">
        <f t="shared" si="66"/>
        <v>y</v>
      </c>
      <c r="T394" s="89" t="str">
        <f t="shared" si="66"/>
        <v>y</v>
      </c>
      <c r="U394" s="254" t="str">
        <f t="shared" si="66"/>
        <v>y</v>
      </c>
      <c r="V394" s="308"/>
      <c r="W394" s="309" cm="1">
        <f t="array" ref="W394">_xlfn.IFS(AND(Q394="y",$D394="Local"), 1, AND(Q394="y",$D394&lt;&gt;"Local"),1.49009696454663%, Q394="","")</f>
        <v>1.49009696454663E-2</v>
      </c>
      <c r="X394" s="272" cm="1">
        <f t="array" ref="X394">_xlfn.IFS(AND(R394="y",$D394="Local"), 1, AND(R394="y",$D394&lt;&gt;"Local"),20.7557554582461%, R394="","")</f>
        <v>0.207557554582461</v>
      </c>
      <c r="Y394" s="272" cm="1">
        <f t="array" ref="Y394">_xlfn.IFS(AND(S394="y",$D394="Local"), 1, AND(S394="y",$D394&lt;&gt;"Local"),30.3499104327336%, S394="","")</f>
        <v>0.30349910432733601</v>
      </c>
      <c r="Z394" s="272" cm="1">
        <f t="array" ref="Z394">_xlfn.IFS(AND(T394="y",$D394="Local"), 1, AND(T394="y",$D394&lt;&gt;"Local"),29.0043833288201%, T394="","")</f>
        <v>0.29004383328820099</v>
      </c>
      <c r="AA394" s="272" cm="1">
        <f t="array" ref="AA394">_xlfn.IFS(AND(U394="y",$D394="Local"), 1, AND(U394="y",$D394&lt;&gt;"Local"),18.3998538156536%, U394="","")</f>
        <v>0.183998538156536</v>
      </c>
      <c r="AB394" s="68">
        <f t="shared" si="57"/>
        <v>1.0000000000000004</v>
      </c>
      <c r="AD394" s="306">
        <f t="shared" si="58"/>
        <v>4954.9449313586792</v>
      </c>
      <c r="AE394" s="242">
        <f t="shared" si="59"/>
        <v>69018.075837532815</v>
      </c>
      <c r="AF394" s="242">
        <f t="shared" si="60"/>
        <v>100921.03966644737</v>
      </c>
      <c r="AG394" s="242">
        <f t="shared" si="61"/>
        <v>96446.825664158998</v>
      </c>
      <c r="AH394" s="353">
        <f t="shared" si="62"/>
        <v>61184.113900502103</v>
      </c>
    </row>
    <row r="395" spans="2:34">
      <c r="B395" s="166" t="s">
        <v>520</v>
      </c>
      <c r="C395" s="150"/>
      <c r="D395" s="150" t="s">
        <v>117</v>
      </c>
      <c r="E395" s="150" t="s">
        <v>141</v>
      </c>
      <c r="F395" s="150" t="s">
        <v>938</v>
      </c>
      <c r="G395" s="146">
        <v>56000</v>
      </c>
      <c r="H395" s="155">
        <v>16050</v>
      </c>
      <c r="I395" s="135">
        <f t="shared" si="63"/>
        <v>45</v>
      </c>
      <c r="J395" s="147">
        <v>778250</v>
      </c>
      <c r="K395" s="150"/>
      <c r="L395" s="88">
        <f t="shared" si="64"/>
        <v>0</v>
      </c>
      <c r="M395" s="160"/>
      <c r="N395" s="167">
        <v>2016</v>
      </c>
      <c r="O395" s="167">
        <f>IFERROR(('General Input Sheet'!$G$38/(VLOOKUP(N395,'General Input Sheet'!$E$38:$G$44,3,FALSE))),1)</f>
        <v>1</v>
      </c>
      <c r="P395" s="189">
        <f t="shared" si="56"/>
        <v>778250</v>
      </c>
      <c r="Q395" s="89" t="str">
        <f t="shared" si="66"/>
        <v>y</v>
      </c>
      <c r="R395" s="89" t="str">
        <f t="shared" si="66"/>
        <v>y</v>
      </c>
      <c r="S395" s="89" t="str">
        <f t="shared" si="66"/>
        <v>y</v>
      </c>
      <c r="T395" s="89" t="str">
        <f t="shared" si="66"/>
        <v>y</v>
      </c>
      <c r="U395" s="254" t="str">
        <f t="shared" si="66"/>
        <v>y</v>
      </c>
      <c r="V395" s="308"/>
      <c r="W395" s="309" cm="1">
        <f t="array" ref="W395">_xlfn.IFS(AND(Q395="y",$D395="Local"), 1, AND(Q395="y",$D395&lt;&gt;"Local"),1.49009696454663%, Q395="","")</f>
        <v>1.49009696454663E-2</v>
      </c>
      <c r="X395" s="272" cm="1">
        <f t="array" ref="X395">_xlfn.IFS(AND(R395="y",$D395="Local"), 1, AND(R395="y",$D395&lt;&gt;"Local"),20.7557554582461%, R395="","")</f>
        <v>0.207557554582461</v>
      </c>
      <c r="Y395" s="272" cm="1">
        <f t="array" ref="Y395">_xlfn.IFS(AND(S395="y",$D395="Local"), 1, AND(S395="y",$D395&lt;&gt;"Local"),30.3499104327336%, S395="","")</f>
        <v>0.30349910432733601</v>
      </c>
      <c r="Z395" s="272" cm="1">
        <f t="array" ref="Z395">_xlfn.IFS(AND(T395="y",$D395="Local"), 1, AND(T395="y",$D395&lt;&gt;"Local"),29.0043833288201%, T395="","")</f>
        <v>0.29004383328820099</v>
      </c>
      <c r="AA395" s="272" cm="1">
        <f t="array" ref="AA395">_xlfn.IFS(AND(U395="y",$D395="Local"), 1, AND(U395="y",$D395&lt;&gt;"Local"),18.3998538156536%, U395="","")</f>
        <v>0.183998538156536</v>
      </c>
      <c r="AB395" s="68">
        <f t="shared" si="57"/>
        <v>1.0000000000000004</v>
      </c>
      <c r="AD395" s="306">
        <f t="shared" si="58"/>
        <v>11596.679626584142</v>
      </c>
      <c r="AE395" s="242">
        <f t="shared" si="59"/>
        <v>161531.66685380021</v>
      </c>
      <c r="AF395" s="242">
        <f t="shared" si="60"/>
        <v>236198.17794274917</v>
      </c>
      <c r="AG395" s="242">
        <f t="shared" si="61"/>
        <v>225726.61325654233</v>
      </c>
      <c r="AH395" s="353">
        <f t="shared" si="62"/>
        <v>143196.86232032409</v>
      </c>
    </row>
    <row r="396" spans="2:34">
      <c r="B396" s="166" t="s">
        <v>521</v>
      </c>
      <c r="C396" s="150"/>
      <c r="D396" s="150" t="s">
        <v>117</v>
      </c>
      <c r="E396" s="150" t="s">
        <v>141</v>
      </c>
      <c r="F396" s="150" t="s">
        <v>939</v>
      </c>
      <c r="G396" s="146">
        <v>56000</v>
      </c>
      <c r="H396" s="155">
        <v>8455</v>
      </c>
      <c r="I396" s="135">
        <f t="shared" si="63"/>
        <v>45</v>
      </c>
      <c r="J396" s="147">
        <v>436475</v>
      </c>
      <c r="K396" s="150"/>
      <c r="L396" s="88">
        <f t="shared" si="64"/>
        <v>0</v>
      </c>
      <c r="M396" s="160"/>
      <c r="N396" s="167">
        <v>2016</v>
      </c>
      <c r="O396" s="167">
        <f>IFERROR(('General Input Sheet'!$G$38/(VLOOKUP(N396,'General Input Sheet'!$E$38:$G$44,3,FALSE))),1)</f>
        <v>1</v>
      </c>
      <c r="P396" s="189">
        <f t="shared" si="56"/>
        <v>436475</v>
      </c>
      <c r="Q396" s="89" t="str">
        <f t="shared" si="66"/>
        <v>y</v>
      </c>
      <c r="R396" s="89" t="str">
        <f t="shared" si="66"/>
        <v>y</v>
      </c>
      <c r="S396" s="89" t="str">
        <f t="shared" si="66"/>
        <v>y</v>
      </c>
      <c r="T396" s="89" t="str">
        <f t="shared" si="66"/>
        <v>y</v>
      </c>
      <c r="U396" s="254" t="str">
        <f t="shared" si="66"/>
        <v>y</v>
      </c>
      <c r="V396" s="308"/>
      <c r="W396" s="309" cm="1">
        <f t="array" ref="W396">_xlfn.IFS(AND(Q396="y",$D396="Local"), 1, AND(Q396="y",$D396&lt;&gt;"Local"),1.49009696454663%, Q396="","")</f>
        <v>1.49009696454663E-2</v>
      </c>
      <c r="X396" s="272" cm="1">
        <f t="array" ref="X396">_xlfn.IFS(AND(R396="y",$D396="Local"), 1, AND(R396="y",$D396&lt;&gt;"Local"),20.7557554582461%, R396="","")</f>
        <v>0.207557554582461</v>
      </c>
      <c r="Y396" s="272" cm="1">
        <f t="array" ref="Y396">_xlfn.IFS(AND(S396="y",$D396="Local"), 1, AND(S396="y",$D396&lt;&gt;"Local"),30.3499104327336%, S396="","")</f>
        <v>0.30349910432733601</v>
      </c>
      <c r="Z396" s="272" cm="1">
        <f t="array" ref="Z396">_xlfn.IFS(AND(T396="y",$D396="Local"), 1, AND(T396="y",$D396&lt;&gt;"Local"),29.0043833288201%, T396="","")</f>
        <v>0.29004383328820099</v>
      </c>
      <c r="AA396" s="272" cm="1">
        <f t="array" ref="AA396">_xlfn.IFS(AND(U396="y",$D396="Local"), 1, AND(U396="y",$D396&lt;&gt;"Local"),18.3998538156536%, U396="","")</f>
        <v>0.183998538156536</v>
      </c>
      <c r="AB396" s="68">
        <f t="shared" si="57"/>
        <v>1.0000000000000004</v>
      </c>
      <c r="AD396" s="306">
        <f t="shared" si="58"/>
        <v>6503.9007260049002</v>
      </c>
      <c r="AE396" s="242">
        <f t="shared" si="59"/>
        <v>90593.683636379632</v>
      </c>
      <c r="AF396" s="242">
        <f t="shared" si="60"/>
        <v>132469.77156127393</v>
      </c>
      <c r="AG396" s="242">
        <f t="shared" si="61"/>
        <v>126596.88213446748</v>
      </c>
      <c r="AH396" s="353">
        <f t="shared" si="62"/>
        <v>80310.761941874007</v>
      </c>
    </row>
    <row r="397" spans="2:34">
      <c r="B397" s="166" t="s">
        <v>522</v>
      </c>
      <c r="C397" s="150"/>
      <c r="D397" s="150" t="s">
        <v>118</v>
      </c>
      <c r="E397" s="150" t="s">
        <v>142</v>
      </c>
      <c r="F397" s="150" t="s">
        <v>942</v>
      </c>
      <c r="G397" s="146">
        <v>56000</v>
      </c>
      <c r="H397" s="155">
        <v>758</v>
      </c>
      <c r="I397" s="135">
        <f t="shared" si="63"/>
        <v>45</v>
      </c>
      <c r="J397" s="147">
        <v>90110</v>
      </c>
      <c r="K397" s="150"/>
      <c r="L397" s="88">
        <f t="shared" si="64"/>
        <v>0</v>
      </c>
      <c r="M397" s="160"/>
      <c r="N397" s="167">
        <v>2016</v>
      </c>
      <c r="O397" s="167">
        <f>IFERROR(('General Input Sheet'!$G$38/(VLOOKUP(N397,'General Input Sheet'!$E$38:$G$44,3,FALSE))),1)</f>
        <v>1</v>
      </c>
      <c r="P397" s="189">
        <f t="shared" ref="P397:P442" si="67">J397+M397</f>
        <v>90110</v>
      </c>
      <c r="Q397" s="89" t="str">
        <f t="shared" si="66"/>
        <v>y</v>
      </c>
      <c r="R397" s="89" t="str">
        <f t="shared" si="66"/>
        <v>y</v>
      </c>
      <c r="S397" s="89" t="str">
        <f t="shared" si="66"/>
        <v>y</v>
      </c>
      <c r="T397" s="89" t="str">
        <f t="shared" si="66"/>
        <v>y</v>
      </c>
      <c r="U397" s="254" t="str">
        <f t="shared" si="66"/>
        <v>y</v>
      </c>
      <c r="V397" s="308"/>
      <c r="W397" s="309" cm="1">
        <f t="array" ref="W397">_xlfn.IFS(AND(Q397="y",$D397="Local"), 1, AND(Q397="y",$D397&lt;&gt;"Local"),1.49009696454663%, Q397="","")</f>
        <v>1.49009696454663E-2</v>
      </c>
      <c r="X397" s="272" cm="1">
        <f t="array" ref="X397">_xlfn.IFS(AND(R397="y",$D397="Local"), 1, AND(R397="y",$D397&lt;&gt;"Local"),20.7557554582461%, R397="","")</f>
        <v>0.207557554582461</v>
      </c>
      <c r="Y397" s="272" cm="1">
        <f t="array" ref="Y397">_xlfn.IFS(AND(S397="y",$D397="Local"), 1, AND(S397="y",$D397&lt;&gt;"Local"),30.3499104327336%, S397="","")</f>
        <v>0.30349910432733601</v>
      </c>
      <c r="Z397" s="272" cm="1">
        <f t="array" ref="Z397">_xlfn.IFS(AND(T397="y",$D397="Local"), 1, AND(T397="y",$D397&lt;&gt;"Local"),29.0043833288201%, T397="","")</f>
        <v>0.29004383328820099</v>
      </c>
      <c r="AA397" s="272" cm="1">
        <f t="array" ref="AA397">_xlfn.IFS(AND(U397="y",$D397="Local"), 1, AND(U397="y",$D397&lt;&gt;"Local"),18.3998538156536%, U397="","")</f>
        <v>0.183998538156536</v>
      </c>
      <c r="AB397" s="68">
        <f t="shared" ref="AB397:AB442" si="68">SUM(W397:AA397)</f>
        <v>1.0000000000000004</v>
      </c>
      <c r="AD397" s="306">
        <f t="shared" ref="AD397:AD442" si="69">IF(W397="","",(W397/$AB397)*$P397)</f>
        <v>1342.7263747529678</v>
      </c>
      <c r="AE397" s="242">
        <f t="shared" ref="AE397:AE442" si="70">IF(X397="","",(X397/$AB397)*$P397)</f>
        <v>18703.011243425553</v>
      </c>
      <c r="AF397" s="242">
        <f t="shared" ref="AF397:AF442" si="71">IF(Y397="","",(Y397/$AB397)*$P397)</f>
        <v>27348.304290936238</v>
      </c>
      <c r="AG397" s="242">
        <f t="shared" ref="AG397:AG442" si="72">IF(Z397="","",(Z397/$AB397)*$P397)</f>
        <v>26135.849817599781</v>
      </c>
      <c r="AH397" s="353">
        <f t="shared" ref="AH397:AH442" si="73">IF(AA397="","",(AA397/$AB397)*$P397)</f>
        <v>16580.108273285452</v>
      </c>
    </row>
    <row r="398" spans="2:34">
      <c r="B398" s="166" t="s">
        <v>523</v>
      </c>
      <c r="C398" s="150"/>
      <c r="D398" s="150" t="s">
        <v>118</v>
      </c>
      <c r="E398" s="150" t="s">
        <v>142</v>
      </c>
      <c r="F398" s="150" t="s">
        <v>943</v>
      </c>
      <c r="G398" s="146">
        <v>56000</v>
      </c>
      <c r="H398" s="155">
        <v>203</v>
      </c>
      <c r="I398" s="135">
        <f t="shared" ref="I398:I442" si="74">IFERROR((J398-G398)/H398,0)</f>
        <v>45</v>
      </c>
      <c r="J398" s="147">
        <v>65135</v>
      </c>
      <c r="K398" s="150"/>
      <c r="L398" s="88">
        <f t="shared" si="64"/>
        <v>0</v>
      </c>
      <c r="M398" s="160"/>
      <c r="N398" s="167">
        <v>2016</v>
      </c>
      <c r="O398" s="167">
        <f>IFERROR(('General Input Sheet'!$G$38/(VLOOKUP(N398,'General Input Sheet'!$E$38:$G$44,3,FALSE))),1)</f>
        <v>1</v>
      </c>
      <c r="P398" s="189">
        <f t="shared" si="67"/>
        <v>65135</v>
      </c>
      <c r="Q398" s="89" t="str">
        <f t="shared" si="66"/>
        <v>y</v>
      </c>
      <c r="R398" s="89" t="str">
        <f t="shared" si="66"/>
        <v>y</v>
      </c>
      <c r="S398" s="89" t="str">
        <f t="shared" si="66"/>
        <v>y</v>
      </c>
      <c r="T398" s="89" t="str">
        <f t="shared" si="66"/>
        <v>y</v>
      </c>
      <c r="U398" s="254" t="str">
        <f t="shared" si="66"/>
        <v>y</v>
      </c>
      <c r="V398" s="308"/>
      <c r="W398" s="309" cm="1">
        <f t="array" ref="W398">_xlfn.IFS(AND(Q398="y",$D398="Local"), 1, AND(Q398="y",$D398&lt;&gt;"Local"),1.49009696454663%, Q398="","")</f>
        <v>1.49009696454663E-2</v>
      </c>
      <c r="X398" s="272" cm="1">
        <f t="array" ref="X398">_xlfn.IFS(AND(R398="y",$D398="Local"), 1, AND(R398="y",$D398&lt;&gt;"Local"),20.7557554582461%, R398="","")</f>
        <v>0.207557554582461</v>
      </c>
      <c r="Y398" s="272" cm="1">
        <f t="array" ref="Y398">_xlfn.IFS(AND(S398="y",$D398="Local"), 1, AND(S398="y",$D398&lt;&gt;"Local"),30.3499104327336%, S398="","")</f>
        <v>0.30349910432733601</v>
      </c>
      <c r="Z398" s="272" cm="1">
        <f t="array" ref="Z398">_xlfn.IFS(AND(T398="y",$D398="Local"), 1, AND(T398="y",$D398&lt;&gt;"Local"),29.0043833288201%, T398="","")</f>
        <v>0.29004383328820099</v>
      </c>
      <c r="AA398" s="272" cm="1">
        <f t="array" ref="AA398">_xlfn.IFS(AND(U398="y",$D398="Local"), 1, AND(U398="y",$D398&lt;&gt;"Local"),18.3998538156536%, U398="","")</f>
        <v>0.183998538156536</v>
      </c>
      <c r="AB398" s="68">
        <f t="shared" si="68"/>
        <v>1.0000000000000004</v>
      </c>
      <c r="AD398" s="306">
        <f t="shared" si="69"/>
        <v>970.57465785744705</v>
      </c>
      <c r="AE398" s="242">
        <f t="shared" si="70"/>
        <v>13519.261317728591</v>
      </c>
      <c r="AF398" s="242">
        <f t="shared" si="71"/>
        <v>19768.414160361022</v>
      </c>
      <c r="AG398" s="242">
        <f t="shared" si="72"/>
        <v>18892.005081226966</v>
      </c>
      <c r="AH398" s="353">
        <f t="shared" si="73"/>
        <v>11984.744782825966</v>
      </c>
    </row>
    <row r="399" spans="2:34">
      <c r="B399" s="166" t="s">
        <v>524</v>
      </c>
      <c r="C399" s="150"/>
      <c r="D399" s="150" t="s">
        <v>118</v>
      </c>
      <c r="E399" s="150" t="s">
        <v>142</v>
      </c>
      <c r="F399" s="150" t="s">
        <v>938</v>
      </c>
      <c r="G399" s="146">
        <v>56000</v>
      </c>
      <c r="H399" s="155">
        <v>809</v>
      </c>
      <c r="I399" s="135">
        <f t="shared" si="74"/>
        <v>45</v>
      </c>
      <c r="J399" s="147">
        <v>92405</v>
      </c>
      <c r="K399" s="150"/>
      <c r="L399" s="88">
        <f t="shared" ref="L399:L442" si="75">IFERROR(M399/K399,0)</f>
        <v>0</v>
      </c>
      <c r="M399" s="160"/>
      <c r="N399" s="167">
        <v>2016</v>
      </c>
      <c r="O399" s="167">
        <f>IFERROR(('General Input Sheet'!$G$38/(VLOOKUP(N399,'General Input Sheet'!$E$38:$G$44,3,FALSE))),1)</f>
        <v>1</v>
      </c>
      <c r="P399" s="189">
        <f t="shared" si="67"/>
        <v>92405</v>
      </c>
      <c r="Q399" s="89" t="str">
        <f t="shared" si="66"/>
        <v>y</v>
      </c>
      <c r="R399" s="89" t="str">
        <f t="shared" si="66"/>
        <v>y</v>
      </c>
      <c r="S399" s="89" t="str">
        <f t="shared" si="66"/>
        <v>y</v>
      </c>
      <c r="T399" s="89" t="str">
        <f t="shared" si="66"/>
        <v>y</v>
      </c>
      <c r="U399" s="254" t="str">
        <f t="shared" si="66"/>
        <v>y</v>
      </c>
      <c r="V399" s="308"/>
      <c r="W399" s="309" cm="1">
        <f t="array" ref="W399">_xlfn.IFS(AND(Q399="y",$D399="Local"), 1, AND(Q399="y",$D399&lt;&gt;"Local"),1.49009696454663%, Q399="","")</f>
        <v>1.49009696454663E-2</v>
      </c>
      <c r="X399" s="272" cm="1">
        <f t="array" ref="X399">_xlfn.IFS(AND(R399="y",$D399="Local"), 1, AND(R399="y",$D399&lt;&gt;"Local"),20.7557554582461%, R399="","")</f>
        <v>0.207557554582461</v>
      </c>
      <c r="Y399" s="272" cm="1">
        <f t="array" ref="Y399">_xlfn.IFS(AND(S399="y",$D399="Local"), 1, AND(S399="y",$D399&lt;&gt;"Local"),30.3499104327336%, S399="","")</f>
        <v>0.30349910432733601</v>
      </c>
      <c r="Z399" s="272" cm="1">
        <f t="array" ref="Z399">_xlfn.IFS(AND(T399="y",$D399="Local"), 1, AND(T399="y",$D399&lt;&gt;"Local"),29.0043833288201%, T399="","")</f>
        <v>0.29004383328820099</v>
      </c>
      <c r="AA399" s="272" cm="1">
        <f t="array" ref="AA399">_xlfn.IFS(AND(U399="y",$D399="Local"), 1, AND(U399="y",$D399&lt;&gt;"Local"),18.3998538156536%, U399="","")</f>
        <v>0.183998538156536</v>
      </c>
      <c r="AB399" s="68">
        <f t="shared" si="68"/>
        <v>1.0000000000000004</v>
      </c>
      <c r="AD399" s="306">
        <f t="shared" si="69"/>
        <v>1376.9241000893128</v>
      </c>
      <c r="AE399" s="242">
        <f t="shared" si="70"/>
        <v>19179.355831192301</v>
      </c>
      <c r="AF399" s="242">
        <f t="shared" si="71"/>
        <v>28044.834735367473</v>
      </c>
      <c r="AG399" s="242">
        <f t="shared" si="72"/>
        <v>26801.500414996204</v>
      </c>
      <c r="AH399" s="353">
        <f t="shared" si="73"/>
        <v>17002.384918354703</v>
      </c>
    </row>
    <row r="400" spans="2:34">
      <c r="B400" s="166" t="s">
        <v>525</v>
      </c>
      <c r="C400" s="150"/>
      <c r="D400" s="150" t="s">
        <v>118</v>
      </c>
      <c r="E400" s="150" t="s">
        <v>142</v>
      </c>
      <c r="F400" s="150" t="s">
        <v>938</v>
      </c>
      <c r="G400" s="146">
        <v>56000</v>
      </c>
      <c r="H400" s="155">
        <v>2650</v>
      </c>
      <c r="I400" s="135">
        <f t="shared" si="74"/>
        <v>45</v>
      </c>
      <c r="J400" s="147">
        <v>175250</v>
      </c>
      <c r="K400" s="150"/>
      <c r="L400" s="88">
        <f t="shared" si="75"/>
        <v>0</v>
      </c>
      <c r="M400" s="160"/>
      <c r="N400" s="167">
        <v>2016</v>
      </c>
      <c r="O400" s="167">
        <f>IFERROR(('General Input Sheet'!$G$38/(VLOOKUP(N400,'General Input Sheet'!$E$38:$G$44,3,FALSE))),1)</f>
        <v>1</v>
      </c>
      <c r="P400" s="189">
        <f t="shared" si="67"/>
        <v>175250</v>
      </c>
      <c r="Q400" s="89" t="str">
        <f t="shared" si="66"/>
        <v>y</v>
      </c>
      <c r="R400" s="89" t="str">
        <f t="shared" si="66"/>
        <v>y</v>
      </c>
      <c r="S400" s="89" t="str">
        <f t="shared" si="66"/>
        <v>y</v>
      </c>
      <c r="T400" s="89" t="str">
        <f t="shared" si="66"/>
        <v>y</v>
      </c>
      <c r="U400" s="254" t="str">
        <f t="shared" si="66"/>
        <v>y</v>
      </c>
      <c r="W400" s="309" cm="1">
        <f t="array" ref="W400">_xlfn.IFS(AND(Q400="y",$D400="Local"), 1, AND(Q400="y",$D400&lt;&gt;"Local"),1.49009696454663%, Q400="","")</f>
        <v>1.49009696454663E-2</v>
      </c>
      <c r="X400" s="272" cm="1">
        <f t="array" ref="X400">_xlfn.IFS(AND(R400="y",$D400="Local"), 1, AND(R400="y",$D400&lt;&gt;"Local"),20.7557554582461%, R400="","")</f>
        <v>0.207557554582461</v>
      </c>
      <c r="Y400" s="272" cm="1">
        <f t="array" ref="Y400">_xlfn.IFS(AND(S400="y",$D400="Local"), 1, AND(S400="y",$D400&lt;&gt;"Local"),30.3499104327336%, S400="","")</f>
        <v>0.30349910432733601</v>
      </c>
      <c r="Z400" s="272" cm="1">
        <f t="array" ref="Z400">_xlfn.IFS(AND(T400="y",$D400="Local"), 1, AND(T400="y",$D400&lt;&gt;"Local"),29.0043833288201%, T400="","")</f>
        <v>0.29004383328820099</v>
      </c>
      <c r="AA400" s="272" cm="1">
        <f t="array" ref="AA400">_xlfn.IFS(AND(U400="y",$D400="Local"), 1, AND(U400="y",$D400&lt;&gt;"Local"),18.3998538156536%, U400="","")</f>
        <v>0.183998538156536</v>
      </c>
      <c r="AB400" s="68">
        <f t="shared" si="68"/>
        <v>1.0000000000000004</v>
      </c>
      <c r="AD400" s="306">
        <f t="shared" si="69"/>
        <v>2611.3949303679678</v>
      </c>
      <c r="AE400" s="242">
        <f t="shared" si="70"/>
        <v>36374.461440576277</v>
      </c>
      <c r="AF400" s="242">
        <f t="shared" si="71"/>
        <v>53188.218033365614</v>
      </c>
      <c r="AG400" s="242">
        <f t="shared" si="72"/>
        <v>50830.181783757202</v>
      </c>
      <c r="AH400" s="353">
        <f t="shared" si="73"/>
        <v>32245.74381193292</v>
      </c>
    </row>
    <row r="401" spans="2:34">
      <c r="B401" s="166" t="s">
        <v>526</v>
      </c>
      <c r="C401" s="150"/>
      <c r="D401" s="150" t="s">
        <v>116</v>
      </c>
      <c r="E401" s="150" t="s">
        <v>141</v>
      </c>
      <c r="F401" s="150" t="s">
        <v>939</v>
      </c>
      <c r="G401" s="146">
        <v>56000</v>
      </c>
      <c r="H401" s="155">
        <v>406</v>
      </c>
      <c r="I401" s="135">
        <f t="shared" si="74"/>
        <v>45</v>
      </c>
      <c r="J401" s="147">
        <v>74270</v>
      </c>
      <c r="K401" s="150"/>
      <c r="L401" s="88">
        <f t="shared" si="75"/>
        <v>0</v>
      </c>
      <c r="M401" s="160"/>
      <c r="N401" s="167">
        <v>2016</v>
      </c>
      <c r="O401" s="167">
        <f>IFERROR(('General Input Sheet'!$G$38/(VLOOKUP(N401,'General Input Sheet'!$E$38:$G$44,3,FALSE))),1)</f>
        <v>1</v>
      </c>
      <c r="P401" s="189">
        <f t="shared" si="67"/>
        <v>74270</v>
      </c>
      <c r="Q401" s="89" t="str">
        <f t="shared" si="66"/>
        <v/>
      </c>
      <c r="R401" s="89" t="str">
        <f t="shared" si="66"/>
        <v/>
      </c>
      <c r="S401" s="89" t="str">
        <f t="shared" si="66"/>
        <v>y</v>
      </c>
      <c r="T401" s="89" t="str">
        <f t="shared" si="66"/>
        <v/>
      </c>
      <c r="U401" s="254" t="str">
        <f t="shared" si="66"/>
        <v/>
      </c>
      <c r="W401" s="309" t="str" cm="1">
        <f t="array" ref="W401">_xlfn.IFS(AND(Q401="y",$D401="Local"), 1, AND(Q401="y",$D401&lt;&gt;"Local"),1.49009696454663%, Q401="","")</f>
        <v/>
      </c>
      <c r="X401" s="272" t="str" cm="1">
        <f t="array" ref="X401">_xlfn.IFS(AND(R401="y",$D401="Local"), 1, AND(R401="y",$D401&lt;&gt;"Local"),20.7557554582461%, R401="","")</f>
        <v/>
      </c>
      <c r="Y401" s="272" cm="1">
        <f t="array" ref="Y401">_xlfn.IFS(AND(S401="y",$D401="Local"), 1, AND(S401="y",$D401&lt;&gt;"Local"),30.3499104327336%, S401="","")</f>
        <v>1</v>
      </c>
      <c r="Z401" s="272" t="str" cm="1">
        <f t="array" ref="Z401">_xlfn.IFS(AND(T401="y",$D401="Local"), 1, AND(T401="y",$D401&lt;&gt;"Local"),29.0043833288201%, T401="","")</f>
        <v/>
      </c>
      <c r="AA401" s="272" t="str" cm="1">
        <f t="array" ref="AA401">_xlfn.IFS(AND(U401="y",$D401="Local"), 1, AND(U401="y",$D401&lt;&gt;"Local"),18.3998538156536%, U401="","")</f>
        <v/>
      </c>
      <c r="AB401" s="68">
        <f t="shared" si="68"/>
        <v>1</v>
      </c>
      <c r="AD401" s="306" t="str">
        <f t="shared" si="69"/>
        <v/>
      </c>
      <c r="AE401" s="242" t="str">
        <f t="shared" si="70"/>
        <v/>
      </c>
      <c r="AF401" s="242">
        <f t="shared" si="71"/>
        <v>74270</v>
      </c>
      <c r="AG401" s="242" t="str">
        <f t="shared" si="72"/>
        <v/>
      </c>
      <c r="AH401" s="353" t="str">
        <f t="shared" si="73"/>
        <v/>
      </c>
    </row>
    <row r="402" spans="2:34">
      <c r="B402" s="166" t="s">
        <v>527</v>
      </c>
      <c r="C402" s="150"/>
      <c r="D402" s="150" t="s">
        <v>117</v>
      </c>
      <c r="E402" s="150" t="s">
        <v>141</v>
      </c>
      <c r="F402" s="150" t="s">
        <v>941</v>
      </c>
      <c r="G402" s="146">
        <v>56000</v>
      </c>
      <c r="H402" s="155">
        <v>877</v>
      </c>
      <c r="I402" s="135">
        <f t="shared" si="74"/>
        <v>45</v>
      </c>
      <c r="J402" s="147">
        <v>95465</v>
      </c>
      <c r="K402" s="150"/>
      <c r="L402" s="88">
        <f t="shared" si="75"/>
        <v>0</v>
      </c>
      <c r="M402" s="160"/>
      <c r="N402" s="167">
        <v>2016</v>
      </c>
      <c r="O402" s="167">
        <f>IFERROR(('General Input Sheet'!$G$38/(VLOOKUP(N402,'General Input Sheet'!$E$38:$G$44,3,FALSE))),1)</f>
        <v>1</v>
      </c>
      <c r="P402" s="189">
        <f t="shared" si="67"/>
        <v>95465</v>
      </c>
      <c r="Q402" s="89" t="str">
        <f t="shared" si="66"/>
        <v>y</v>
      </c>
      <c r="R402" s="89" t="str">
        <f t="shared" si="66"/>
        <v>y</v>
      </c>
      <c r="S402" s="89" t="str">
        <f t="shared" si="66"/>
        <v>y</v>
      </c>
      <c r="T402" s="89" t="str">
        <f t="shared" si="66"/>
        <v>y</v>
      </c>
      <c r="U402" s="254" t="str">
        <f t="shared" si="66"/>
        <v>y</v>
      </c>
      <c r="W402" s="309" cm="1">
        <f t="array" ref="W402">_xlfn.IFS(AND(Q402="y",$D402="Local"), 1, AND(Q402="y",$D402&lt;&gt;"Local"),1.49009696454663%, Q402="","")</f>
        <v>1.49009696454663E-2</v>
      </c>
      <c r="X402" s="272" cm="1">
        <f t="array" ref="X402">_xlfn.IFS(AND(R402="y",$D402="Local"), 1, AND(R402="y",$D402&lt;&gt;"Local"),20.7557554582461%, R402="","")</f>
        <v>0.207557554582461</v>
      </c>
      <c r="Y402" s="272" cm="1">
        <f t="array" ref="Y402">_xlfn.IFS(AND(S402="y",$D402="Local"), 1, AND(S402="y",$D402&lt;&gt;"Local"),30.3499104327336%, S402="","")</f>
        <v>0.30349910432733601</v>
      </c>
      <c r="Z402" s="272" cm="1">
        <f t="array" ref="Z402">_xlfn.IFS(AND(T402="y",$D402="Local"), 1, AND(T402="y",$D402&lt;&gt;"Local"),29.0043833288201%, T402="","")</f>
        <v>0.29004383328820099</v>
      </c>
      <c r="AA402" s="272" cm="1">
        <f t="array" ref="AA402">_xlfn.IFS(AND(U402="y",$D402="Local"), 1, AND(U402="y",$D402&lt;&gt;"Local"),18.3998538156536%, U402="","")</f>
        <v>0.183998538156536</v>
      </c>
      <c r="AB402" s="68">
        <f t="shared" si="68"/>
        <v>1.0000000000000004</v>
      </c>
      <c r="AD402" s="306">
        <f t="shared" si="69"/>
        <v>1422.5210672044398</v>
      </c>
      <c r="AE402" s="242">
        <f t="shared" si="70"/>
        <v>19814.48194821463</v>
      </c>
      <c r="AF402" s="242">
        <f t="shared" si="71"/>
        <v>28973.541994609121</v>
      </c>
      <c r="AG402" s="242">
        <f t="shared" si="72"/>
        <v>27689.034544858096</v>
      </c>
      <c r="AH402" s="353">
        <f t="shared" si="73"/>
        <v>17565.420445113701</v>
      </c>
    </row>
    <row r="403" spans="2:34">
      <c r="B403" s="166" t="s">
        <v>528</v>
      </c>
      <c r="C403" s="150"/>
      <c r="D403" s="150" t="s">
        <v>118</v>
      </c>
      <c r="E403" s="150" t="s">
        <v>142</v>
      </c>
      <c r="F403" s="150" t="s">
        <v>940</v>
      </c>
      <c r="G403" s="146">
        <v>56000</v>
      </c>
      <c r="H403" s="155">
        <v>809</v>
      </c>
      <c r="I403" s="135">
        <f t="shared" si="74"/>
        <v>45</v>
      </c>
      <c r="J403" s="147">
        <v>92405</v>
      </c>
      <c r="K403" s="150"/>
      <c r="L403" s="88">
        <f t="shared" si="75"/>
        <v>0</v>
      </c>
      <c r="M403" s="160"/>
      <c r="N403" s="167">
        <v>2016</v>
      </c>
      <c r="O403" s="167">
        <f>IFERROR(('General Input Sheet'!$G$38/(VLOOKUP(N403,'General Input Sheet'!$E$38:$G$44,3,FALSE))),1)</f>
        <v>1</v>
      </c>
      <c r="P403" s="189">
        <f t="shared" si="67"/>
        <v>92405</v>
      </c>
      <c r="Q403" s="89" t="str">
        <f t="shared" si="66"/>
        <v>y</v>
      </c>
      <c r="R403" s="89" t="str">
        <f t="shared" si="66"/>
        <v>y</v>
      </c>
      <c r="S403" s="89" t="str">
        <f t="shared" si="66"/>
        <v>y</v>
      </c>
      <c r="T403" s="89" t="str">
        <f t="shared" si="66"/>
        <v>y</v>
      </c>
      <c r="U403" s="254" t="str">
        <f t="shared" si="66"/>
        <v>y</v>
      </c>
      <c r="W403" s="309" cm="1">
        <f t="array" ref="W403">_xlfn.IFS(AND(Q403="y",$D403="Local"), 1, AND(Q403="y",$D403&lt;&gt;"Local"),1.49009696454663%, Q403="","")</f>
        <v>1.49009696454663E-2</v>
      </c>
      <c r="X403" s="272" cm="1">
        <f t="array" ref="X403">_xlfn.IFS(AND(R403="y",$D403="Local"), 1, AND(R403="y",$D403&lt;&gt;"Local"),20.7557554582461%, R403="","")</f>
        <v>0.207557554582461</v>
      </c>
      <c r="Y403" s="272" cm="1">
        <f t="array" ref="Y403">_xlfn.IFS(AND(S403="y",$D403="Local"), 1, AND(S403="y",$D403&lt;&gt;"Local"),30.3499104327336%, S403="","")</f>
        <v>0.30349910432733601</v>
      </c>
      <c r="Z403" s="272" cm="1">
        <f t="array" ref="Z403">_xlfn.IFS(AND(T403="y",$D403="Local"), 1, AND(T403="y",$D403&lt;&gt;"Local"),29.0043833288201%, T403="","")</f>
        <v>0.29004383328820099</v>
      </c>
      <c r="AA403" s="272" cm="1">
        <f t="array" ref="AA403">_xlfn.IFS(AND(U403="y",$D403="Local"), 1, AND(U403="y",$D403&lt;&gt;"Local"),18.3998538156536%, U403="","")</f>
        <v>0.183998538156536</v>
      </c>
      <c r="AB403" s="68">
        <f t="shared" si="68"/>
        <v>1.0000000000000004</v>
      </c>
      <c r="AD403" s="306">
        <f t="shared" si="69"/>
        <v>1376.9241000893128</v>
      </c>
      <c r="AE403" s="242">
        <f t="shared" si="70"/>
        <v>19179.355831192301</v>
      </c>
      <c r="AF403" s="242">
        <f t="shared" si="71"/>
        <v>28044.834735367473</v>
      </c>
      <c r="AG403" s="242">
        <f t="shared" si="72"/>
        <v>26801.500414996204</v>
      </c>
      <c r="AH403" s="353">
        <f t="shared" si="73"/>
        <v>17002.384918354703</v>
      </c>
    </row>
    <row r="404" spans="2:34">
      <c r="B404" s="166" t="s">
        <v>529</v>
      </c>
      <c r="C404" s="150"/>
      <c r="D404" s="150" t="s">
        <v>116</v>
      </c>
      <c r="E404" s="150" t="s">
        <v>141</v>
      </c>
      <c r="F404" s="150" t="s">
        <v>940</v>
      </c>
      <c r="G404" s="146">
        <v>56000</v>
      </c>
      <c r="H404" s="155">
        <v>354</v>
      </c>
      <c r="I404" s="135">
        <f t="shared" si="74"/>
        <v>45</v>
      </c>
      <c r="J404" s="147">
        <v>71930</v>
      </c>
      <c r="K404" s="150"/>
      <c r="L404" s="88">
        <f t="shared" si="75"/>
        <v>0</v>
      </c>
      <c r="M404" s="160"/>
      <c r="N404" s="167">
        <v>2016</v>
      </c>
      <c r="O404" s="167">
        <f>IFERROR(('General Input Sheet'!$G$38/(VLOOKUP(N404,'General Input Sheet'!$E$38:$G$44,3,FALSE))),1)</f>
        <v>1</v>
      </c>
      <c r="P404" s="189">
        <f t="shared" si="67"/>
        <v>71930</v>
      </c>
      <c r="Q404" s="89" t="str">
        <f t="shared" si="66"/>
        <v/>
      </c>
      <c r="R404" s="89" t="str">
        <f t="shared" si="66"/>
        <v/>
      </c>
      <c r="S404" s="89" t="str">
        <f t="shared" si="66"/>
        <v>y</v>
      </c>
      <c r="T404" s="89" t="str">
        <f t="shared" si="66"/>
        <v/>
      </c>
      <c r="U404" s="254" t="str">
        <f t="shared" si="66"/>
        <v/>
      </c>
      <c r="W404" s="309" t="str" cm="1">
        <f t="array" ref="W404">_xlfn.IFS(AND(Q404="y",$D404="Local"), 1, AND(Q404="y",$D404&lt;&gt;"Local"),1.49009696454663%, Q404="","")</f>
        <v/>
      </c>
      <c r="X404" s="272" t="str" cm="1">
        <f t="array" ref="X404">_xlfn.IFS(AND(R404="y",$D404="Local"), 1, AND(R404="y",$D404&lt;&gt;"Local"),20.7557554582461%, R404="","")</f>
        <v/>
      </c>
      <c r="Y404" s="272" cm="1">
        <f t="array" ref="Y404">_xlfn.IFS(AND(S404="y",$D404="Local"), 1, AND(S404="y",$D404&lt;&gt;"Local"),30.3499104327336%, S404="","")</f>
        <v>1</v>
      </c>
      <c r="Z404" s="272" t="str" cm="1">
        <f t="array" ref="Z404">_xlfn.IFS(AND(T404="y",$D404="Local"), 1, AND(T404="y",$D404&lt;&gt;"Local"),29.0043833288201%, T404="","")</f>
        <v/>
      </c>
      <c r="AA404" s="272" t="str" cm="1">
        <f t="array" ref="AA404">_xlfn.IFS(AND(U404="y",$D404="Local"), 1, AND(U404="y",$D404&lt;&gt;"Local"),18.3998538156536%, U404="","")</f>
        <v/>
      </c>
      <c r="AB404" s="68">
        <f t="shared" si="68"/>
        <v>1</v>
      </c>
      <c r="AD404" s="306" t="str">
        <f t="shared" si="69"/>
        <v/>
      </c>
      <c r="AE404" s="242" t="str">
        <f t="shared" si="70"/>
        <v/>
      </c>
      <c r="AF404" s="242">
        <f t="shared" si="71"/>
        <v>71930</v>
      </c>
      <c r="AG404" s="242" t="str">
        <f t="shared" si="72"/>
        <v/>
      </c>
      <c r="AH404" s="353" t="str">
        <f t="shared" si="73"/>
        <v/>
      </c>
    </row>
    <row r="405" spans="2:34">
      <c r="B405" s="166" t="s">
        <v>530</v>
      </c>
      <c r="C405" s="150"/>
      <c r="D405" s="150" t="s">
        <v>118</v>
      </c>
      <c r="E405" s="150" t="s">
        <v>140</v>
      </c>
      <c r="F405" s="150" t="s">
        <v>938</v>
      </c>
      <c r="G405" s="146">
        <v>56000</v>
      </c>
      <c r="H405" s="155">
        <v>1191</v>
      </c>
      <c r="I405" s="135">
        <f t="shared" si="74"/>
        <v>45</v>
      </c>
      <c r="J405" s="147">
        <v>109595</v>
      </c>
      <c r="K405" s="150"/>
      <c r="L405" s="88">
        <f t="shared" si="75"/>
        <v>0</v>
      </c>
      <c r="M405" s="160"/>
      <c r="N405" s="167">
        <v>2016</v>
      </c>
      <c r="O405" s="167">
        <f>IFERROR(('General Input Sheet'!$G$38/(VLOOKUP(N405,'General Input Sheet'!$E$38:$G$44,3,FALSE))),1)</f>
        <v>1</v>
      </c>
      <c r="P405" s="189">
        <f t="shared" si="67"/>
        <v>109595</v>
      </c>
      <c r="Q405" s="89" t="str">
        <f t="shared" si="66"/>
        <v>y</v>
      </c>
      <c r="R405" s="89" t="str">
        <f t="shared" si="66"/>
        <v>y</v>
      </c>
      <c r="S405" s="89" t="str">
        <f t="shared" si="66"/>
        <v>y</v>
      </c>
      <c r="T405" s="89" t="str">
        <f t="shared" si="66"/>
        <v>y</v>
      </c>
      <c r="U405" s="254" t="str">
        <f t="shared" si="66"/>
        <v>y</v>
      </c>
      <c r="W405" s="309" cm="1">
        <f t="array" ref="W405">_xlfn.IFS(AND(Q405="y",$D405="Local"), 1, AND(Q405="y",$D405&lt;&gt;"Local"),1.49009696454663%, Q405="","")</f>
        <v>1.49009696454663E-2</v>
      </c>
      <c r="X405" s="272" cm="1">
        <f t="array" ref="X405">_xlfn.IFS(AND(R405="y",$D405="Local"), 1, AND(R405="y",$D405&lt;&gt;"Local"),20.7557554582461%, R405="","")</f>
        <v>0.207557554582461</v>
      </c>
      <c r="Y405" s="272" cm="1">
        <f t="array" ref="Y405">_xlfn.IFS(AND(S405="y",$D405="Local"), 1, AND(S405="y",$D405&lt;&gt;"Local"),30.3499104327336%, S405="","")</f>
        <v>0.30349910432733601</v>
      </c>
      <c r="Z405" s="272" cm="1">
        <f t="array" ref="Z405">_xlfn.IFS(AND(T405="y",$D405="Local"), 1, AND(T405="y",$D405&lt;&gt;"Local"),29.0043833288201%, T405="","")</f>
        <v>0.29004383328820099</v>
      </c>
      <c r="AA405" s="272" cm="1">
        <f t="array" ref="AA405">_xlfn.IFS(AND(U405="y",$D405="Local"), 1, AND(U405="y",$D405&lt;&gt;"Local"),18.3998538156536%, U405="","")</f>
        <v>0.183998538156536</v>
      </c>
      <c r="AB405" s="68">
        <f t="shared" si="68"/>
        <v>1.0000000000000004</v>
      </c>
      <c r="AD405" s="306">
        <f t="shared" si="69"/>
        <v>1633.0717682948784</v>
      </c>
      <c r="AE405" s="242">
        <f t="shared" si="70"/>
        <v>22747.270194464803</v>
      </c>
      <c r="AF405" s="242">
        <f t="shared" si="71"/>
        <v>33261.984338754381</v>
      </c>
      <c r="AG405" s="242">
        <f t="shared" si="72"/>
        <v>31787.353909220375</v>
      </c>
      <c r="AH405" s="353">
        <f t="shared" si="73"/>
        <v>20165.319789265552</v>
      </c>
    </row>
    <row r="406" spans="2:34">
      <c r="B406" s="166" t="s">
        <v>531</v>
      </c>
      <c r="C406" s="150"/>
      <c r="D406" s="150" t="s">
        <v>118</v>
      </c>
      <c r="E406" s="150" t="s">
        <v>141</v>
      </c>
      <c r="F406" s="150" t="s">
        <v>940</v>
      </c>
      <c r="G406" s="146">
        <v>56000</v>
      </c>
      <c r="H406" s="155">
        <v>347</v>
      </c>
      <c r="I406" s="135">
        <f t="shared" si="74"/>
        <v>45</v>
      </c>
      <c r="J406" s="147">
        <v>71615</v>
      </c>
      <c r="K406" s="150"/>
      <c r="L406" s="88">
        <f t="shared" si="75"/>
        <v>0</v>
      </c>
      <c r="M406" s="160"/>
      <c r="N406" s="167">
        <v>2016</v>
      </c>
      <c r="O406" s="167">
        <f>IFERROR(('General Input Sheet'!$G$38/(VLOOKUP(N406,'General Input Sheet'!$E$38:$G$44,3,FALSE))),1)</f>
        <v>1</v>
      </c>
      <c r="P406" s="189">
        <f t="shared" si="67"/>
        <v>71615</v>
      </c>
      <c r="Q406" s="89" t="str">
        <f t="shared" si="66"/>
        <v>y</v>
      </c>
      <c r="R406" s="89" t="str">
        <f t="shared" si="66"/>
        <v>y</v>
      </c>
      <c r="S406" s="89" t="str">
        <f t="shared" si="66"/>
        <v>y</v>
      </c>
      <c r="T406" s="89" t="str">
        <f t="shared" si="66"/>
        <v>y</v>
      </c>
      <c r="U406" s="254" t="str">
        <f t="shared" si="66"/>
        <v>y</v>
      </c>
      <c r="W406" s="309" cm="1">
        <f t="array" ref="W406">_xlfn.IFS(AND(Q406="y",$D406="Local"), 1, AND(Q406="y",$D406&lt;&gt;"Local"),1.49009696454663%, Q406="","")</f>
        <v>1.49009696454663E-2</v>
      </c>
      <c r="X406" s="272" cm="1">
        <f t="array" ref="X406">_xlfn.IFS(AND(R406="y",$D406="Local"), 1, AND(R406="y",$D406&lt;&gt;"Local"),20.7557554582461%, R406="","")</f>
        <v>0.207557554582461</v>
      </c>
      <c r="Y406" s="272" cm="1">
        <f t="array" ref="Y406">_xlfn.IFS(AND(S406="y",$D406="Local"), 1, AND(S406="y",$D406&lt;&gt;"Local"),30.3499104327336%, S406="","")</f>
        <v>0.30349910432733601</v>
      </c>
      <c r="Z406" s="272" cm="1">
        <f t="array" ref="Z406">_xlfn.IFS(AND(T406="y",$D406="Local"), 1, AND(T406="y",$D406&lt;&gt;"Local"),29.0043833288201%, T406="","")</f>
        <v>0.29004383328820099</v>
      </c>
      <c r="AA406" s="272" cm="1">
        <f t="array" ref="AA406">_xlfn.IFS(AND(U406="y",$D406="Local"), 1, AND(U406="y",$D406&lt;&gt;"Local"),18.3998538156536%, U406="","")</f>
        <v>0.183998538156536</v>
      </c>
      <c r="AB406" s="68">
        <f t="shared" si="68"/>
        <v>1.0000000000000004</v>
      </c>
      <c r="AD406" s="306">
        <f t="shared" si="69"/>
        <v>1067.1329411600686</v>
      </c>
      <c r="AE406" s="242">
        <f t="shared" si="70"/>
        <v>14864.234271422938</v>
      </c>
      <c r="AF406" s="242">
        <f t="shared" si="71"/>
        <v>21735.088356402161</v>
      </c>
      <c r="AG406" s="242">
        <f t="shared" si="72"/>
        <v>20771.489120934508</v>
      </c>
      <c r="AH406" s="353">
        <f t="shared" si="73"/>
        <v>13177.055310080319</v>
      </c>
    </row>
    <row r="407" spans="2:34">
      <c r="B407" s="166" t="s">
        <v>532</v>
      </c>
      <c r="C407" s="150"/>
      <c r="D407" s="150" t="s">
        <v>117</v>
      </c>
      <c r="E407" s="150" t="s">
        <v>140</v>
      </c>
      <c r="F407" s="150" t="s">
        <v>940</v>
      </c>
      <c r="G407" s="146">
        <v>56000</v>
      </c>
      <c r="H407" s="155">
        <v>285</v>
      </c>
      <c r="I407" s="135">
        <f t="shared" si="74"/>
        <v>45</v>
      </c>
      <c r="J407" s="147">
        <v>68825</v>
      </c>
      <c r="K407" s="150"/>
      <c r="L407" s="88">
        <f t="shared" si="75"/>
        <v>0</v>
      </c>
      <c r="M407" s="160"/>
      <c r="N407" s="167">
        <v>2016</v>
      </c>
      <c r="O407" s="167">
        <f>IFERROR(('General Input Sheet'!$G$38/(VLOOKUP(N407,'General Input Sheet'!$E$38:$G$44,3,FALSE))),1)</f>
        <v>1</v>
      </c>
      <c r="P407" s="189">
        <f t="shared" si="67"/>
        <v>68825</v>
      </c>
      <c r="Q407" s="89" t="str">
        <f t="shared" si="66"/>
        <v>y</v>
      </c>
      <c r="R407" s="89" t="str">
        <f t="shared" si="66"/>
        <v>y</v>
      </c>
      <c r="S407" s="89" t="str">
        <f t="shared" si="66"/>
        <v>y</v>
      </c>
      <c r="T407" s="89" t="str">
        <f t="shared" si="66"/>
        <v>y</v>
      </c>
      <c r="U407" s="254" t="str">
        <f t="shared" si="66"/>
        <v>y</v>
      </c>
      <c r="W407" s="309" cm="1">
        <f t="array" ref="W407">_xlfn.IFS(AND(Q407="y",$D407="Local"), 1, AND(Q407="y",$D407&lt;&gt;"Local"),1.49009696454663%, Q407="","")</f>
        <v>1.49009696454663E-2</v>
      </c>
      <c r="X407" s="272" cm="1">
        <f t="array" ref="X407">_xlfn.IFS(AND(R407="y",$D407="Local"), 1, AND(R407="y",$D407&lt;&gt;"Local"),20.7557554582461%, R407="","")</f>
        <v>0.207557554582461</v>
      </c>
      <c r="Y407" s="272" cm="1">
        <f t="array" ref="Y407">_xlfn.IFS(AND(S407="y",$D407="Local"), 1, AND(S407="y",$D407&lt;&gt;"Local"),30.3499104327336%, S407="","")</f>
        <v>0.30349910432733601</v>
      </c>
      <c r="Z407" s="272" cm="1">
        <f t="array" ref="Z407">_xlfn.IFS(AND(T407="y",$D407="Local"), 1, AND(T407="y",$D407&lt;&gt;"Local"),29.0043833288201%, T407="","")</f>
        <v>0.29004383328820099</v>
      </c>
      <c r="AA407" s="272" cm="1">
        <f t="array" ref="AA407">_xlfn.IFS(AND(U407="y",$D407="Local"), 1, AND(U407="y",$D407&lt;&gt;"Local"),18.3998538156536%, U407="","")</f>
        <v>0.183998538156536</v>
      </c>
      <c r="AB407" s="68">
        <f t="shared" si="68"/>
        <v>1.0000000000000004</v>
      </c>
      <c r="AD407" s="306">
        <f t="shared" si="69"/>
        <v>1025.5592358492177</v>
      </c>
      <c r="AE407" s="242">
        <f t="shared" si="70"/>
        <v>14285.148694137873</v>
      </c>
      <c r="AF407" s="242">
        <f t="shared" si="71"/>
        <v>20888.325855328894</v>
      </c>
      <c r="AG407" s="242">
        <f t="shared" si="72"/>
        <v>19962.266826060426</v>
      </c>
      <c r="AH407" s="353">
        <f t="shared" si="73"/>
        <v>12663.699388623585</v>
      </c>
    </row>
    <row r="408" spans="2:34">
      <c r="B408" s="166" t="s">
        <v>533</v>
      </c>
      <c r="C408" s="150"/>
      <c r="D408" s="150" t="s">
        <v>116</v>
      </c>
      <c r="E408" s="150" t="s">
        <v>140</v>
      </c>
      <c r="F408" s="150" t="s">
        <v>944</v>
      </c>
      <c r="G408" s="146">
        <v>56000</v>
      </c>
      <c r="H408" s="155">
        <v>39840</v>
      </c>
      <c r="I408" s="135">
        <f t="shared" si="74"/>
        <v>45</v>
      </c>
      <c r="J408" s="147">
        <v>1848800</v>
      </c>
      <c r="K408" s="150"/>
      <c r="L408" s="88">
        <f t="shared" si="75"/>
        <v>0</v>
      </c>
      <c r="M408" s="160"/>
      <c r="N408" s="167">
        <v>2016</v>
      </c>
      <c r="O408" s="167">
        <f>IFERROR(('General Input Sheet'!$G$38/(VLOOKUP(N408,'General Input Sheet'!$E$38:$G$44,3,FALSE))),1)</f>
        <v>1</v>
      </c>
      <c r="P408" s="189">
        <f t="shared" si="67"/>
        <v>1848800</v>
      </c>
      <c r="Q408" s="89" t="str">
        <f t="shared" si="66"/>
        <v/>
      </c>
      <c r="R408" s="89" t="str">
        <f t="shared" si="66"/>
        <v>y</v>
      </c>
      <c r="S408" s="89" t="str">
        <f t="shared" si="66"/>
        <v/>
      </c>
      <c r="T408" s="89" t="str">
        <f t="shared" si="66"/>
        <v/>
      </c>
      <c r="U408" s="254" t="str">
        <f t="shared" si="66"/>
        <v/>
      </c>
      <c r="W408" s="309" t="str" cm="1">
        <f t="array" ref="W408">_xlfn.IFS(AND(Q408="y",$D408="Local"), 1, AND(Q408="y",$D408&lt;&gt;"Local"),1.49009696454663%, Q408="","")</f>
        <v/>
      </c>
      <c r="X408" s="272" cm="1">
        <f t="array" ref="X408">_xlfn.IFS(AND(R408="y",$D408="Local"), 1, AND(R408="y",$D408&lt;&gt;"Local"),20.7557554582461%, R408="","")</f>
        <v>1</v>
      </c>
      <c r="Y408" s="272" t="str" cm="1">
        <f t="array" ref="Y408">_xlfn.IFS(AND(S408="y",$D408="Local"), 1, AND(S408="y",$D408&lt;&gt;"Local"),30.3499104327336%, S408="","")</f>
        <v/>
      </c>
      <c r="Z408" s="272" t="str" cm="1">
        <f t="array" ref="Z408">_xlfn.IFS(AND(T408="y",$D408="Local"), 1, AND(T408="y",$D408&lt;&gt;"Local"),29.0043833288201%, T408="","")</f>
        <v/>
      </c>
      <c r="AA408" s="272" t="str" cm="1">
        <f t="array" ref="AA408">_xlfn.IFS(AND(U408="y",$D408="Local"), 1, AND(U408="y",$D408&lt;&gt;"Local"),18.3998538156536%, U408="","")</f>
        <v/>
      </c>
      <c r="AB408" s="68">
        <f t="shared" si="68"/>
        <v>1</v>
      </c>
      <c r="AD408" s="306" t="str">
        <f t="shared" si="69"/>
        <v/>
      </c>
      <c r="AE408" s="242">
        <f t="shared" si="70"/>
        <v>1848800</v>
      </c>
      <c r="AF408" s="242" t="str">
        <f t="shared" si="71"/>
        <v/>
      </c>
      <c r="AG408" s="242" t="str">
        <f t="shared" si="72"/>
        <v/>
      </c>
      <c r="AH408" s="353" t="str">
        <f t="shared" si="73"/>
        <v/>
      </c>
    </row>
    <row r="409" spans="2:34">
      <c r="B409" s="166" t="s">
        <v>534</v>
      </c>
      <c r="C409" s="150"/>
      <c r="D409" s="150" t="s">
        <v>117</v>
      </c>
      <c r="E409" s="150" t="s">
        <v>140</v>
      </c>
      <c r="F409" s="150" t="s">
        <v>942</v>
      </c>
      <c r="G409" s="146">
        <v>56000</v>
      </c>
      <c r="H409" s="155">
        <v>433</v>
      </c>
      <c r="I409" s="135">
        <f t="shared" si="74"/>
        <v>45</v>
      </c>
      <c r="J409" s="147">
        <v>75485</v>
      </c>
      <c r="K409" s="150"/>
      <c r="L409" s="88">
        <f t="shared" si="75"/>
        <v>0</v>
      </c>
      <c r="M409" s="160"/>
      <c r="N409" s="167">
        <v>2016</v>
      </c>
      <c r="O409" s="167">
        <f>IFERROR(('General Input Sheet'!$G$38/(VLOOKUP(N409,'General Input Sheet'!$E$38:$G$44,3,FALSE))),1)</f>
        <v>1</v>
      </c>
      <c r="P409" s="189">
        <f t="shared" si="67"/>
        <v>75485</v>
      </c>
      <c r="Q409" s="89" t="str">
        <f t="shared" si="66"/>
        <v>y</v>
      </c>
      <c r="R409" s="89" t="str">
        <f t="shared" si="66"/>
        <v>y</v>
      </c>
      <c r="S409" s="89" t="str">
        <f t="shared" si="66"/>
        <v>y</v>
      </c>
      <c r="T409" s="89" t="str">
        <f t="shared" si="66"/>
        <v>y</v>
      </c>
      <c r="U409" s="254" t="str">
        <f t="shared" si="66"/>
        <v>y</v>
      </c>
      <c r="W409" s="309" cm="1">
        <f t="array" ref="W409">_xlfn.IFS(AND(Q409="y",$D409="Local"), 1, AND(Q409="y",$D409&lt;&gt;"Local"),1.49009696454663%, Q409="","")</f>
        <v>1.49009696454663E-2</v>
      </c>
      <c r="X409" s="272" cm="1">
        <f t="array" ref="X409">_xlfn.IFS(AND(R409="y",$D409="Local"), 1, AND(R409="y",$D409&lt;&gt;"Local"),20.7557554582461%, R409="","")</f>
        <v>0.207557554582461</v>
      </c>
      <c r="Y409" s="272" cm="1">
        <f t="array" ref="Y409">_xlfn.IFS(AND(S409="y",$D409="Local"), 1, AND(S409="y",$D409&lt;&gt;"Local"),30.3499104327336%, S409="","")</f>
        <v>0.30349910432733601</v>
      </c>
      <c r="Z409" s="272" cm="1">
        <f t="array" ref="Z409">_xlfn.IFS(AND(T409="y",$D409="Local"), 1, AND(T409="y",$D409&lt;&gt;"Local"),29.0043833288201%, T409="","")</f>
        <v>0.29004383328820099</v>
      </c>
      <c r="AA409" s="272" cm="1">
        <f t="array" ref="AA409">_xlfn.IFS(AND(U409="y",$D409="Local"), 1, AND(U409="y",$D409&lt;&gt;"Local"),18.3998538156536%, U409="","")</f>
        <v>0.183998538156536</v>
      </c>
      <c r="AB409" s="68">
        <f t="shared" si="68"/>
        <v>1.0000000000000004</v>
      </c>
      <c r="AD409" s="306">
        <f t="shared" si="69"/>
        <v>1124.7996936880231</v>
      </c>
      <c r="AE409" s="242">
        <f t="shared" si="70"/>
        <v>15667.482007657063</v>
      </c>
      <c r="AF409" s="242">
        <f t="shared" si="71"/>
        <v>22909.62989014895</v>
      </c>
      <c r="AG409" s="242">
        <f t="shared" si="72"/>
        <v>21893.958755759842</v>
      </c>
      <c r="AH409" s="353">
        <f t="shared" si="73"/>
        <v>13889.129652746113</v>
      </c>
    </row>
    <row r="410" spans="2:34">
      <c r="B410" s="166" t="s">
        <v>535</v>
      </c>
      <c r="C410" s="150"/>
      <c r="D410" s="150" t="s">
        <v>118</v>
      </c>
      <c r="E410" s="150" t="s">
        <v>141</v>
      </c>
      <c r="F410" s="150" t="s">
        <v>944</v>
      </c>
      <c r="G410" s="146">
        <v>56000</v>
      </c>
      <c r="H410" s="155">
        <v>5000</v>
      </c>
      <c r="I410" s="135">
        <f t="shared" si="74"/>
        <v>45</v>
      </c>
      <c r="J410" s="147">
        <v>281000</v>
      </c>
      <c r="K410" s="150"/>
      <c r="L410" s="88">
        <f t="shared" si="75"/>
        <v>0</v>
      </c>
      <c r="M410" s="160"/>
      <c r="N410" s="167">
        <v>2016</v>
      </c>
      <c r="O410" s="167">
        <f>IFERROR(('General Input Sheet'!$G$38/(VLOOKUP(N410,'General Input Sheet'!$E$38:$G$44,3,FALSE))),1)</f>
        <v>1</v>
      </c>
      <c r="P410" s="189">
        <f t="shared" si="67"/>
        <v>281000</v>
      </c>
      <c r="Q410" s="89" t="str">
        <f t="shared" si="66"/>
        <v>y</v>
      </c>
      <c r="R410" s="89" t="str">
        <f t="shared" si="66"/>
        <v>y</v>
      </c>
      <c r="S410" s="89" t="str">
        <f t="shared" si="66"/>
        <v>y</v>
      </c>
      <c r="T410" s="89" t="str">
        <f t="shared" si="66"/>
        <v>y</v>
      </c>
      <c r="U410" s="254" t="str">
        <f t="shared" si="66"/>
        <v>y</v>
      </c>
      <c r="W410" s="309" cm="1">
        <f t="array" ref="W410">_xlfn.IFS(AND(Q410="y",$D410="Local"), 1, AND(Q410="y",$D410&lt;&gt;"Local"),1.49009696454663%, Q410="","")</f>
        <v>1.49009696454663E-2</v>
      </c>
      <c r="X410" s="272" cm="1">
        <f t="array" ref="X410">_xlfn.IFS(AND(R410="y",$D410="Local"), 1, AND(R410="y",$D410&lt;&gt;"Local"),20.7557554582461%, R410="","")</f>
        <v>0.207557554582461</v>
      </c>
      <c r="Y410" s="272" cm="1">
        <f t="array" ref="Y410">_xlfn.IFS(AND(S410="y",$D410="Local"), 1, AND(S410="y",$D410&lt;&gt;"Local"),30.3499104327336%, S410="","")</f>
        <v>0.30349910432733601</v>
      </c>
      <c r="Z410" s="272" cm="1">
        <f t="array" ref="Z410">_xlfn.IFS(AND(T410="y",$D410="Local"), 1, AND(T410="y",$D410&lt;&gt;"Local"),29.0043833288201%, T410="","")</f>
        <v>0.29004383328820099</v>
      </c>
      <c r="AA410" s="272" cm="1">
        <f t="array" ref="AA410">_xlfn.IFS(AND(U410="y",$D410="Local"), 1, AND(U410="y",$D410&lt;&gt;"Local"),18.3998538156536%, U410="","")</f>
        <v>0.183998538156536</v>
      </c>
      <c r="AB410" s="68">
        <f t="shared" si="68"/>
        <v>1.0000000000000004</v>
      </c>
      <c r="AD410" s="306">
        <f t="shared" si="69"/>
        <v>4187.1724703760283</v>
      </c>
      <c r="AE410" s="242">
        <f t="shared" si="70"/>
        <v>58323.672837671518</v>
      </c>
      <c r="AF410" s="242">
        <f t="shared" si="71"/>
        <v>85283.248315981386</v>
      </c>
      <c r="AG410" s="242">
        <f t="shared" si="72"/>
        <v>81502.317153984448</v>
      </c>
      <c r="AH410" s="353">
        <f t="shared" si="73"/>
        <v>51703.589221986593</v>
      </c>
    </row>
    <row r="411" spans="2:34">
      <c r="B411" s="166" t="s">
        <v>536</v>
      </c>
      <c r="C411" s="150"/>
      <c r="D411" s="150" t="s">
        <v>116</v>
      </c>
      <c r="E411" s="150" t="s">
        <v>141</v>
      </c>
      <c r="F411" s="150" t="s">
        <v>939</v>
      </c>
      <c r="G411" s="146">
        <v>56000</v>
      </c>
      <c r="H411" s="155">
        <v>860</v>
      </c>
      <c r="I411" s="135">
        <f t="shared" si="74"/>
        <v>45</v>
      </c>
      <c r="J411" s="147">
        <v>94700</v>
      </c>
      <c r="K411" s="150"/>
      <c r="L411" s="88">
        <f t="shared" si="75"/>
        <v>0</v>
      </c>
      <c r="M411" s="160"/>
      <c r="N411" s="167">
        <v>2016</v>
      </c>
      <c r="O411" s="167">
        <f>IFERROR(('General Input Sheet'!$G$38/(VLOOKUP(N411,'General Input Sheet'!$E$38:$G$44,3,FALSE))),1)</f>
        <v>1</v>
      </c>
      <c r="P411" s="189">
        <f t="shared" si="67"/>
        <v>94700</v>
      </c>
      <c r="Q411" s="89" t="str">
        <f t="shared" si="66"/>
        <v/>
      </c>
      <c r="R411" s="89" t="str">
        <f t="shared" si="66"/>
        <v/>
      </c>
      <c r="S411" s="89" t="str">
        <f t="shared" si="66"/>
        <v>y</v>
      </c>
      <c r="T411" s="89" t="str">
        <f t="shared" si="66"/>
        <v/>
      </c>
      <c r="U411" s="254" t="str">
        <f t="shared" si="66"/>
        <v/>
      </c>
      <c r="W411" s="309" t="str" cm="1">
        <f t="array" ref="W411">_xlfn.IFS(AND(Q411="y",$D411="Local"), 1, AND(Q411="y",$D411&lt;&gt;"Local"),1.49009696454663%, Q411="","")</f>
        <v/>
      </c>
      <c r="X411" s="272" t="str" cm="1">
        <f t="array" ref="X411">_xlfn.IFS(AND(R411="y",$D411="Local"), 1, AND(R411="y",$D411&lt;&gt;"Local"),20.7557554582461%, R411="","")</f>
        <v/>
      </c>
      <c r="Y411" s="272" cm="1">
        <f t="array" ref="Y411">_xlfn.IFS(AND(S411="y",$D411="Local"), 1, AND(S411="y",$D411&lt;&gt;"Local"),30.3499104327336%, S411="","")</f>
        <v>1</v>
      </c>
      <c r="Z411" s="272" t="str" cm="1">
        <f t="array" ref="Z411">_xlfn.IFS(AND(T411="y",$D411="Local"), 1, AND(T411="y",$D411&lt;&gt;"Local"),29.0043833288201%, T411="","")</f>
        <v/>
      </c>
      <c r="AA411" s="272" t="str" cm="1">
        <f t="array" ref="AA411">_xlfn.IFS(AND(U411="y",$D411="Local"), 1, AND(U411="y",$D411&lt;&gt;"Local"),18.3998538156536%, U411="","")</f>
        <v/>
      </c>
      <c r="AB411" s="68">
        <f t="shared" si="68"/>
        <v>1</v>
      </c>
      <c r="AD411" s="306" t="str">
        <f t="shared" si="69"/>
        <v/>
      </c>
      <c r="AE411" s="242" t="str">
        <f t="shared" si="70"/>
        <v/>
      </c>
      <c r="AF411" s="242">
        <f t="shared" si="71"/>
        <v>94700</v>
      </c>
      <c r="AG411" s="242" t="str">
        <f t="shared" si="72"/>
        <v/>
      </c>
      <c r="AH411" s="353" t="str">
        <f t="shared" si="73"/>
        <v/>
      </c>
    </row>
    <row r="412" spans="2:34">
      <c r="B412" s="166" t="s">
        <v>537</v>
      </c>
      <c r="C412" s="150"/>
      <c r="D412" s="150" t="s">
        <v>118</v>
      </c>
      <c r="E412" s="150" t="s">
        <v>143</v>
      </c>
      <c r="F412" s="150" t="s">
        <v>938</v>
      </c>
      <c r="G412" s="146">
        <v>56000</v>
      </c>
      <c r="H412" s="155">
        <v>1850</v>
      </c>
      <c r="I412" s="135">
        <f t="shared" si="74"/>
        <v>45</v>
      </c>
      <c r="J412" s="147">
        <v>139250</v>
      </c>
      <c r="K412" s="150"/>
      <c r="L412" s="88">
        <f t="shared" si="75"/>
        <v>0</v>
      </c>
      <c r="M412" s="160"/>
      <c r="N412" s="167">
        <v>2016</v>
      </c>
      <c r="O412" s="167">
        <f>IFERROR(('General Input Sheet'!$G$38/(VLOOKUP(N412,'General Input Sheet'!$E$38:$G$44,3,FALSE))),1)</f>
        <v>1</v>
      </c>
      <c r="P412" s="189">
        <f t="shared" si="67"/>
        <v>139250</v>
      </c>
      <c r="Q412" s="89" t="str">
        <f t="shared" si="66"/>
        <v>y</v>
      </c>
      <c r="R412" s="89" t="str">
        <f t="shared" si="66"/>
        <v>y</v>
      </c>
      <c r="S412" s="89" t="str">
        <f t="shared" si="66"/>
        <v>y</v>
      </c>
      <c r="T412" s="89" t="str">
        <f t="shared" si="66"/>
        <v>y</v>
      </c>
      <c r="U412" s="254" t="str">
        <f t="shared" si="66"/>
        <v>y</v>
      </c>
      <c r="W412" s="309" cm="1">
        <f t="array" ref="W412">_xlfn.IFS(AND(Q412="y",$D412="Local"), 1, AND(Q412="y",$D412&lt;&gt;"Local"),1.49009696454663%, Q412="","")</f>
        <v>1.49009696454663E-2</v>
      </c>
      <c r="X412" s="272" cm="1">
        <f t="array" ref="X412">_xlfn.IFS(AND(R412="y",$D412="Local"), 1, AND(R412="y",$D412&lt;&gt;"Local"),20.7557554582461%, R412="","")</f>
        <v>0.207557554582461</v>
      </c>
      <c r="Y412" s="272" cm="1">
        <f t="array" ref="Y412">_xlfn.IFS(AND(S412="y",$D412="Local"), 1, AND(S412="y",$D412&lt;&gt;"Local"),30.3499104327336%, S412="","")</f>
        <v>0.30349910432733601</v>
      </c>
      <c r="Z412" s="272" cm="1">
        <f t="array" ref="Z412">_xlfn.IFS(AND(T412="y",$D412="Local"), 1, AND(T412="y",$D412&lt;&gt;"Local"),29.0043833288201%, T412="","")</f>
        <v>0.29004383328820099</v>
      </c>
      <c r="AA412" s="272" cm="1">
        <f t="array" ref="AA412">_xlfn.IFS(AND(U412="y",$D412="Local"), 1, AND(U412="y",$D412&lt;&gt;"Local"),18.3998538156536%, U412="","")</f>
        <v>0.183998538156536</v>
      </c>
      <c r="AB412" s="68">
        <f t="shared" si="68"/>
        <v>1.0000000000000004</v>
      </c>
      <c r="AD412" s="306">
        <f t="shared" si="69"/>
        <v>2074.9600231311815</v>
      </c>
      <c r="AE412" s="242">
        <f t="shared" si="70"/>
        <v>28902.389475607684</v>
      </c>
      <c r="AF412" s="242">
        <f t="shared" si="71"/>
        <v>42262.250277581523</v>
      </c>
      <c r="AG412" s="242">
        <f t="shared" si="72"/>
        <v>40388.603785381973</v>
      </c>
      <c r="AH412" s="353">
        <f t="shared" si="73"/>
        <v>25621.796438297624</v>
      </c>
    </row>
    <row r="413" spans="2:34">
      <c r="B413" s="166" t="s">
        <v>538</v>
      </c>
      <c r="C413" s="150"/>
      <c r="D413" s="150" t="s">
        <v>116</v>
      </c>
      <c r="E413" s="150" t="s">
        <v>142</v>
      </c>
      <c r="F413" s="150" t="s">
        <v>938</v>
      </c>
      <c r="G413" s="146">
        <v>56000</v>
      </c>
      <c r="H413" s="155">
        <v>16360</v>
      </c>
      <c r="I413" s="135">
        <f t="shared" si="74"/>
        <v>45</v>
      </c>
      <c r="J413" s="147">
        <v>792200</v>
      </c>
      <c r="K413" s="150"/>
      <c r="L413" s="88">
        <f t="shared" si="75"/>
        <v>0</v>
      </c>
      <c r="M413" s="160"/>
      <c r="N413" s="167">
        <v>2016</v>
      </c>
      <c r="O413" s="167">
        <f>IFERROR(('General Input Sheet'!$G$38/(VLOOKUP(N413,'General Input Sheet'!$E$38:$G$44,3,FALSE))),1)</f>
        <v>1</v>
      </c>
      <c r="P413" s="189">
        <f t="shared" si="67"/>
        <v>792200</v>
      </c>
      <c r="Q413" s="89" t="str">
        <f t="shared" si="66"/>
        <v/>
      </c>
      <c r="R413" s="89" t="str">
        <f t="shared" si="66"/>
        <v/>
      </c>
      <c r="S413" s="89" t="str">
        <f t="shared" si="66"/>
        <v/>
      </c>
      <c r="T413" s="89" t="str">
        <f t="shared" si="66"/>
        <v>y</v>
      </c>
      <c r="U413" s="254" t="str">
        <f t="shared" si="66"/>
        <v/>
      </c>
      <c r="W413" s="309" t="str" cm="1">
        <f t="array" ref="W413">_xlfn.IFS(AND(Q413="y",$D413="Local"), 1, AND(Q413="y",$D413&lt;&gt;"Local"),1.49009696454663%, Q413="","")</f>
        <v/>
      </c>
      <c r="X413" s="272" t="str" cm="1">
        <f t="array" ref="X413">_xlfn.IFS(AND(R413="y",$D413="Local"), 1, AND(R413="y",$D413&lt;&gt;"Local"),20.7557554582461%, R413="","")</f>
        <v/>
      </c>
      <c r="Y413" s="272" t="str" cm="1">
        <f t="array" ref="Y413">_xlfn.IFS(AND(S413="y",$D413="Local"), 1, AND(S413="y",$D413&lt;&gt;"Local"),30.3499104327336%, S413="","")</f>
        <v/>
      </c>
      <c r="Z413" s="272" cm="1">
        <f t="array" ref="Z413">_xlfn.IFS(AND(T413="y",$D413="Local"), 1, AND(T413="y",$D413&lt;&gt;"Local"),29.0043833288201%, T413="","")</f>
        <v>1</v>
      </c>
      <c r="AA413" s="272" t="str" cm="1">
        <f t="array" ref="AA413">_xlfn.IFS(AND(U413="y",$D413="Local"), 1, AND(U413="y",$D413&lt;&gt;"Local"),18.3998538156536%, U413="","")</f>
        <v/>
      </c>
      <c r="AB413" s="68">
        <f t="shared" si="68"/>
        <v>1</v>
      </c>
      <c r="AD413" s="306" t="str">
        <f t="shared" si="69"/>
        <v/>
      </c>
      <c r="AE413" s="242" t="str">
        <f t="shared" si="70"/>
        <v/>
      </c>
      <c r="AF413" s="242" t="str">
        <f t="shared" si="71"/>
        <v/>
      </c>
      <c r="AG413" s="242">
        <f t="shared" si="72"/>
        <v>792200</v>
      </c>
      <c r="AH413" s="353" t="str">
        <f t="shared" si="73"/>
        <v/>
      </c>
    </row>
    <row r="414" spans="2:34">
      <c r="B414" s="166" t="s">
        <v>539</v>
      </c>
      <c r="C414" s="150"/>
      <c r="D414" s="150" t="s">
        <v>118</v>
      </c>
      <c r="E414" s="150" t="s">
        <v>141</v>
      </c>
      <c r="F414" s="150" t="s">
        <v>941</v>
      </c>
      <c r="G414" s="146">
        <v>56000</v>
      </c>
      <c r="H414" s="155">
        <v>4457</v>
      </c>
      <c r="I414" s="135">
        <f t="shared" si="74"/>
        <v>45</v>
      </c>
      <c r="J414" s="147">
        <v>256565</v>
      </c>
      <c r="K414" s="150"/>
      <c r="L414" s="88">
        <f t="shared" si="75"/>
        <v>0</v>
      </c>
      <c r="M414" s="160"/>
      <c r="N414" s="167">
        <v>2016</v>
      </c>
      <c r="O414" s="167">
        <f>IFERROR(('General Input Sheet'!$G$38/(VLOOKUP(N414,'General Input Sheet'!$E$38:$G$44,3,FALSE))),1)</f>
        <v>1</v>
      </c>
      <c r="P414" s="189">
        <f t="shared" si="67"/>
        <v>256565</v>
      </c>
      <c r="Q414" s="89" t="str">
        <f t="shared" si="66"/>
        <v>y</v>
      </c>
      <c r="R414" s="89" t="str">
        <f t="shared" si="66"/>
        <v>y</v>
      </c>
      <c r="S414" s="89" t="str">
        <f t="shared" si="66"/>
        <v>y</v>
      </c>
      <c r="T414" s="89" t="str">
        <f t="shared" si="66"/>
        <v>y</v>
      </c>
      <c r="U414" s="254" t="str">
        <f t="shared" si="66"/>
        <v>y</v>
      </c>
      <c r="W414" s="309" cm="1">
        <f t="array" ref="W414">_xlfn.IFS(AND(Q414="y",$D414="Local"), 1, AND(Q414="y",$D414&lt;&gt;"Local"),1.49009696454663%, Q414="","")</f>
        <v>1.49009696454663E-2</v>
      </c>
      <c r="X414" s="272" cm="1">
        <f t="array" ref="X414">_xlfn.IFS(AND(R414="y",$D414="Local"), 1, AND(R414="y",$D414&lt;&gt;"Local"),20.7557554582461%, R414="","")</f>
        <v>0.207557554582461</v>
      </c>
      <c r="Y414" s="272" cm="1">
        <f t="array" ref="Y414">_xlfn.IFS(AND(S414="y",$D414="Local"), 1, AND(S414="y",$D414&lt;&gt;"Local"),30.3499104327336%, S414="","")</f>
        <v>0.30349910432733601</v>
      </c>
      <c r="Z414" s="272" cm="1">
        <f t="array" ref="Z414">_xlfn.IFS(AND(T414="y",$D414="Local"), 1, AND(T414="y",$D414&lt;&gt;"Local"),29.0043833288201%, T414="","")</f>
        <v>0.29004383328820099</v>
      </c>
      <c r="AA414" s="272" cm="1">
        <f t="array" ref="AA414">_xlfn.IFS(AND(U414="y",$D414="Local"), 1, AND(U414="y",$D414&lt;&gt;"Local"),18.3998538156536%, U414="","")</f>
        <v>0.183998538156536</v>
      </c>
      <c r="AB414" s="68">
        <f t="shared" si="68"/>
        <v>1.0000000000000004</v>
      </c>
      <c r="AD414" s="306">
        <f t="shared" si="69"/>
        <v>3823.0672770890596</v>
      </c>
      <c r="AE414" s="242">
        <f t="shared" si="70"/>
        <v>53252.003991449084</v>
      </c>
      <c r="AF414" s="242">
        <f t="shared" si="71"/>
        <v>77867.247701742934</v>
      </c>
      <c r="AG414" s="242">
        <f t="shared" si="72"/>
        <v>74415.096087587255</v>
      </c>
      <c r="AH414" s="353">
        <f t="shared" si="73"/>
        <v>47207.584942131638</v>
      </c>
    </row>
    <row r="415" spans="2:34">
      <c r="B415" s="166" t="s">
        <v>540</v>
      </c>
      <c r="C415" s="150"/>
      <c r="D415" s="150" t="s">
        <v>116</v>
      </c>
      <c r="E415" s="150" t="s">
        <v>143</v>
      </c>
      <c r="F415" s="150" t="s">
        <v>939</v>
      </c>
      <c r="G415" s="146">
        <v>56000</v>
      </c>
      <c r="H415" s="155">
        <v>369</v>
      </c>
      <c r="I415" s="135">
        <f t="shared" si="74"/>
        <v>45</v>
      </c>
      <c r="J415" s="147">
        <v>72605</v>
      </c>
      <c r="K415" s="150"/>
      <c r="L415" s="88">
        <f t="shared" si="75"/>
        <v>0</v>
      </c>
      <c r="M415" s="160"/>
      <c r="N415" s="167">
        <v>2016</v>
      </c>
      <c r="O415" s="167">
        <f>IFERROR(('General Input Sheet'!$G$38/(VLOOKUP(N415,'General Input Sheet'!$E$38:$G$44,3,FALSE))),1)</f>
        <v>1</v>
      </c>
      <c r="P415" s="189">
        <f t="shared" si="67"/>
        <v>72605</v>
      </c>
      <c r="Q415" s="89" t="str">
        <f t="shared" si="66"/>
        <v/>
      </c>
      <c r="R415" s="89" t="str">
        <f t="shared" si="66"/>
        <v/>
      </c>
      <c r="S415" s="89" t="str">
        <f t="shared" si="66"/>
        <v/>
      </c>
      <c r="T415" s="89" t="str">
        <f t="shared" si="66"/>
        <v/>
      </c>
      <c r="U415" s="254" t="str">
        <f t="shared" si="66"/>
        <v>y</v>
      </c>
      <c r="W415" s="309" t="str" cm="1">
        <f t="array" ref="W415">_xlfn.IFS(AND(Q415="y",$D415="Local"), 1, AND(Q415="y",$D415&lt;&gt;"Local"),1.49009696454663%, Q415="","")</f>
        <v/>
      </c>
      <c r="X415" s="272" t="str" cm="1">
        <f t="array" ref="X415">_xlfn.IFS(AND(R415="y",$D415="Local"), 1, AND(R415="y",$D415&lt;&gt;"Local"),20.7557554582461%, R415="","")</f>
        <v/>
      </c>
      <c r="Y415" s="272" t="str" cm="1">
        <f t="array" ref="Y415">_xlfn.IFS(AND(S415="y",$D415="Local"), 1, AND(S415="y",$D415&lt;&gt;"Local"),30.3499104327336%, S415="","")</f>
        <v/>
      </c>
      <c r="Z415" s="272" t="str" cm="1">
        <f t="array" ref="Z415">_xlfn.IFS(AND(T415="y",$D415="Local"), 1, AND(T415="y",$D415&lt;&gt;"Local"),29.0043833288201%, T415="","")</f>
        <v/>
      </c>
      <c r="AA415" s="272" cm="1">
        <f t="array" ref="AA415">_xlfn.IFS(AND(U415="y",$D415="Local"), 1, AND(U415="y",$D415&lt;&gt;"Local"),18.3998538156536%, U415="","")</f>
        <v>1</v>
      </c>
      <c r="AB415" s="68">
        <f t="shared" si="68"/>
        <v>1</v>
      </c>
      <c r="AD415" s="306" t="str">
        <f t="shared" si="69"/>
        <v/>
      </c>
      <c r="AE415" s="242" t="str">
        <f t="shared" si="70"/>
        <v/>
      </c>
      <c r="AF415" s="242" t="str">
        <f t="shared" si="71"/>
        <v/>
      </c>
      <c r="AG415" s="242" t="str">
        <f t="shared" si="72"/>
        <v/>
      </c>
      <c r="AH415" s="353">
        <f t="shared" si="73"/>
        <v>72605</v>
      </c>
    </row>
    <row r="416" spans="2:34">
      <c r="B416" s="166" t="s">
        <v>541</v>
      </c>
      <c r="C416" s="150"/>
      <c r="D416" s="150" t="s">
        <v>118</v>
      </c>
      <c r="E416" s="150" t="s">
        <v>142</v>
      </c>
      <c r="F416" s="150" t="s">
        <v>938</v>
      </c>
      <c r="G416" s="146">
        <v>56000</v>
      </c>
      <c r="H416" s="155">
        <v>2055</v>
      </c>
      <c r="I416" s="135">
        <f t="shared" si="74"/>
        <v>45</v>
      </c>
      <c r="J416" s="147">
        <v>148475</v>
      </c>
      <c r="K416" s="150"/>
      <c r="L416" s="88">
        <f t="shared" si="75"/>
        <v>0</v>
      </c>
      <c r="M416" s="160"/>
      <c r="N416" s="167">
        <v>2016</v>
      </c>
      <c r="O416" s="167">
        <f>IFERROR(('General Input Sheet'!$G$38/(VLOOKUP(N416,'General Input Sheet'!$E$38:$G$44,3,FALSE))),1)</f>
        <v>1</v>
      </c>
      <c r="P416" s="189">
        <f t="shared" si="67"/>
        <v>148475</v>
      </c>
      <c r="Q416" s="89" t="str">
        <f t="shared" si="66"/>
        <v>y</v>
      </c>
      <c r="R416" s="89" t="str">
        <f t="shared" si="66"/>
        <v>y</v>
      </c>
      <c r="S416" s="89" t="str">
        <f t="shared" si="66"/>
        <v>y</v>
      </c>
      <c r="T416" s="89" t="str">
        <f t="shared" si="66"/>
        <v>y</v>
      </c>
      <c r="U416" s="254" t="str">
        <f t="shared" si="66"/>
        <v>y</v>
      </c>
      <c r="W416" s="309" cm="1">
        <f t="array" ref="W416">_xlfn.IFS(AND(Q416="y",$D416="Local"), 1, AND(Q416="y",$D416&lt;&gt;"Local"),1.49009696454663%, Q416="","")</f>
        <v>1.49009696454663E-2</v>
      </c>
      <c r="X416" s="272" cm="1">
        <f t="array" ref="X416">_xlfn.IFS(AND(R416="y",$D416="Local"), 1, AND(R416="y",$D416&lt;&gt;"Local"),20.7557554582461%, R416="","")</f>
        <v>0.207557554582461</v>
      </c>
      <c r="Y416" s="272" cm="1">
        <f t="array" ref="Y416">_xlfn.IFS(AND(S416="y",$D416="Local"), 1, AND(S416="y",$D416&lt;&gt;"Local"),30.3499104327336%, S416="","")</f>
        <v>0.30349910432733601</v>
      </c>
      <c r="Z416" s="272" cm="1">
        <f t="array" ref="Z416">_xlfn.IFS(AND(T416="y",$D416="Local"), 1, AND(T416="y",$D416&lt;&gt;"Local"),29.0043833288201%, T416="","")</f>
        <v>0.29004383328820099</v>
      </c>
      <c r="AA416" s="272" cm="1">
        <f t="array" ref="AA416">_xlfn.IFS(AND(U416="y",$D416="Local"), 1, AND(U416="y",$D416&lt;&gt;"Local"),18.3998538156536%, U416="","")</f>
        <v>0.183998538156536</v>
      </c>
      <c r="AB416" s="68">
        <f t="shared" si="68"/>
        <v>1.0000000000000004</v>
      </c>
      <c r="AD416" s="306">
        <f t="shared" si="69"/>
        <v>2212.4214681106077</v>
      </c>
      <c r="AE416" s="242">
        <f t="shared" si="70"/>
        <v>30817.107916630885</v>
      </c>
      <c r="AF416" s="242">
        <f t="shared" si="71"/>
        <v>45062.029515001195</v>
      </c>
      <c r="AG416" s="242">
        <f t="shared" si="72"/>
        <v>43064.258147465625</v>
      </c>
      <c r="AH416" s="353">
        <f t="shared" si="73"/>
        <v>27319.182952791671</v>
      </c>
    </row>
    <row r="417" spans="2:34">
      <c r="B417" s="166" t="s">
        <v>542</v>
      </c>
      <c r="C417" s="150"/>
      <c r="D417" s="150" t="s">
        <v>116</v>
      </c>
      <c r="E417" s="150" t="s">
        <v>142</v>
      </c>
      <c r="F417" s="150" t="s">
        <v>939</v>
      </c>
      <c r="G417" s="146">
        <v>56000</v>
      </c>
      <c r="H417" s="155">
        <v>2023</v>
      </c>
      <c r="I417" s="135">
        <f t="shared" si="74"/>
        <v>45</v>
      </c>
      <c r="J417" s="147">
        <v>147035</v>
      </c>
      <c r="K417" s="150"/>
      <c r="L417" s="88">
        <f t="shared" si="75"/>
        <v>0</v>
      </c>
      <c r="M417" s="160"/>
      <c r="N417" s="167">
        <v>2016</v>
      </c>
      <c r="O417" s="167">
        <f>IFERROR(('General Input Sheet'!$G$38/(VLOOKUP(N417,'General Input Sheet'!$E$38:$G$44,3,FALSE))),1)</f>
        <v>1</v>
      </c>
      <c r="P417" s="189">
        <f t="shared" si="67"/>
        <v>147035</v>
      </c>
      <c r="Q417" s="89" t="str">
        <f t="shared" si="66"/>
        <v/>
      </c>
      <c r="R417" s="89" t="str">
        <f t="shared" si="66"/>
        <v/>
      </c>
      <c r="S417" s="89" t="str">
        <f t="shared" si="66"/>
        <v/>
      </c>
      <c r="T417" s="89" t="str">
        <f t="shared" si="66"/>
        <v>y</v>
      </c>
      <c r="U417" s="254" t="str">
        <f t="shared" si="66"/>
        <v/>
      </c>
      <c r="W417" s="309" t="str" cm="1">
        <f t="array" ref="W417">_xlfn.IFS(AND(Q417="y",$D417="Local"), 1, AND(Q417="y",$D417&lt;&gt;"Local"),1.49009696454663%, Q417="","")</f>
        <v/>
      </c>
      <c r="X417" s="272" t="str" cm="1">
        <f t="array" ref="X417">_xlfn.IFS(AND(R417="y",$D417="Local"), 1, AND(R417="y",$D417&lt;&gt;"Local"),20.7557554582461%, R417="","")</f>
        <v/>
      </c>
      <c r="Y417" s="272" t="str" cm="1">
        <f t="array" ref="Y417">_xlfn.IFS(AND(S417="y",$D417="Local"), 1, AND(S417="y",$D417&lt;&gt;"Local"),30.3499104327336%, S417="","")</f>
        <v/>
      </c>
      <c r="Z417" s="272" cm="1">
        <f t="array" ref="Z417">_xlfn.IFS(AND(T417="y",$D417="Local"), 1, AND(T417="y",$D417&lt;&gt;"Local"),29.0043833288201%, T417="","")</f>
        <v>1</v>
      </c>
      <c r="AA417" s="272" t="str" cm="1">
        <f t="array" ref="AA417">_xlfn.IFS(AND(U417="y",$D417="Local"), 1, AND(U417="y",$D417&lt;&gt;"Local"),18.3998538156536%, U417="","")</f>
        <v/>
      </c>
      <c r="AB417" s="68">
        <f t="shared" si="68"/>
        <v>1</v>
      </c>
      <c r="AD417" s="306" t="str">
        <f t="shared" si="69"/>
        <v/>
      </c>
      <c r="AE417" s="242" t="str">
        <f t="shared" si="70"/>
        <v/>
      </c>
      <c r="AF417" s="242" t="str">
        <f t="shared" si="71"/>
        <v/>
      </c>
      <c r="AG417" s="242">
        <f t="shared" si="72"/>
        <v>147035</v>
      </c>
      <c r="AH417" s="353" t="str">
        <f t="shared" si="73"/>
        <v/>
      </c>
    </row>
    <row r="418" spans="2:34">
      <c r="B418" s="166" t="s">
        <v>543</v>
      </c>
      <c r="C418" s="150"/>
      <c r="D418" s="150" t="s">
        <v>118</v>
      </c>
      <c r="E418" s="150" t="s">
        <v>141</v>
      </c>
      <c r="F418" s="150" t="s">
        <v>943</v>
      </c>
      <c r="G418" s="146">
        <v>56000</v>
      </c>
      <c r="H418" s="155">
        <v>463</v>
      </c>
      <c r="I418" s="135">
        <f t="shared" si="74"/>
        <v>45</v>
      </c>
      <c r="J418" s="147">
        <v>76835</v>
      </c>
      <c r="K418" s="150"/>
      <c r="L418" s="88">
        <f t="shared" si="75"/>
        <v>0</v>
      </c>
      <c r="M418" s="160"/>
      <c r="N418" s="167">
        <v>2016</v>
      </c>
      <c r="O418" s="167">
        <f>IFERROR(('General Input Sheet'!$G$38/(VLOOKUP(N418,'General Input Sheet'!$E$38:$G$44,3,FALSE))),1)</f>
        <v>1</v>
      </c>
      <c r="P418" s="189">
        <f t="shared" si="67"/>
        <v>76835</v>
      </c>
      <c r="Q418" s="89" t="str">
        <f t="shared" si="66"/>
        <v>y</v>
      </c>
      <c r="R418" s="89" t="str">
        <f t="shared" si="66"/>
        <v>y</v>
      </c>
      <c r="S418" s="89" t="str">
        <f t="shared" si="66"/>
        <v>y</v>
      </c>
      <c r="T418" s="89" t="str">
        <f t="shared" si="66"/>
        <v>y</v>
      </c>
      <c r="U418" s="254" t="str">
        <f t="shared" si="66"/>
        <v>y</v>
      </c>
      <c r="W418" s="309" cm="1">
        <f t="array" ref="W418">_xlfn.IFS(AND(Q418="y",$D418="Local"), 1, AND(Q418="y",$D418&lt;&gt;"Local"),1.49009696454663%, Q418="","")</f>
        <v>1.49009696454663E-2</v>
      </c>
      <c r="X418" s="272" cm="1">
        <f t="array" ref="X418">_xlfn.IFS(AND(R418="y",$D418="Local"), 1, AND(R418="y",$D418&lt;&gt;"Local"),20.7557554582461%, R418="","")</f>
        <v>0.207557554582461</v>
      </c>
      <c r="Y418" s="272" cm="1">
        <f t="array" ref="Y418">_xlfn.IFS(AND(S418="y",$D418="Local"), 1, AND(S418="y",$D418&lt;&gt;"Local"),30.3499104327336%, S418="","")</f>
        <v>0.30349910432733601</v>
      </c>
      <c r="Z418" s="272" cm="1">
        <f t="array" ref="Z418">_xlfn.IFS(AND(T418="y",$D418="Local"), 1, AND(T418="y",$D418&lt;&gt;"Local"),29.0043833288201%, T418="","")</f>
        <v>0.29004383328820099</v>
      </c>
      <c r="AA418" s="272" cm="1">
        <f t="array" ref="AA418">_xlfn.IFS(AND(U418="y",$D418="Local"), 1, AND(U418="y",$D418&lt;&gt;"Local"),18.3998538156536%, U418="","")</f>
        <v>0.183998538156536</v>
      </c>
      <c r="AB418" s="68">
        <f t="shared" si="68"/>
        <v>1.0000000000000004</v>
      </c>
      <c r="AD418" s="306">
        <f t="shared" si="69"/>
        <v>1144.9160027094026</v>
      </c>
      <c r="AE418" s="242">
        <f t="shared" si="70"/>
        <v>15947.684706343385</v>
      </c>
      <c r="AF418" s="242">
        <f t="shared" si="71"/>
        <v>23319.353680990855</v>
      </c>
      <c r="AG418" s="242">
        <f t="shared" si="72"/>
        <v>22285.517930698916</v>
      </c>
      <c r="AH418" s="353">
        <f t="shared" si="73"/>
        <v>14137.527679257437</v>
      </c>
    </row>
    <row r="419" spans="2:34">
      <c r="B419" s="166" t="s">
        <v>544</v>
      </c>
      <c r="C419" s="150"/>
      <c r="D419" s="150" t="s">
        <v>118</v>
      </c>
      <c r="E419" s="150" t="s">
        <v>143</v>
      </c>
      <c r="F419" s="150" t="s">
        <v>938</v>
      </c>
      <c r="G419" s="146">
        <v>56000</v>
      </c>
      <c r="H419" s="155">
        <v>2700</v>
      </c>
      <c r="I419" s="135">
        <f t="shared" si="74"/>
        <v>45</v>
      </c>
      <c r="J419" s="147">
        <v>177500</v>
      </c>
      <c r="K419" s="150"/>
      <c r="L419" s="88">
        <f t="shared" si="75"/>
        <v>0</v>
      </c>
      <c r="M419" s="160"/>
      <c r="N419" s="167">
        <v>2016</v>
      </c>
      <c r="O419" s="167">
        <f>IFERROR(('General Input Sheet'!$G$38/(VLOOKUP(N419,'General Input Sheet'!$E$38:$G$44,3,FALSE))),1)</f>
        <v>1</v>
      </c>
      <c r="P419" s="189">
        <f t="shared" si="67"/>
        <v>177500</v>
      </c>
      <c r="Q419" s="89" t="str">
        <f t="shared" si="66"/>
        <v>y</v>
      </c>
      <c r="R419" s="89" t="str">
        <f t="shared" si="66"/>
        <v>y</v>
      </c>
      <c r="S419" s="89" t="str">
        <f t="shared" si="66"/>
        <v>y</v>
      </c>
      <c r="T419" s="89" t="str">
        <f t="shared" si="66"/>
        <v>y</v>
      </c>
      <c r="U419" s="254" t="str">
        <f t="shared" si="66"/>
        <v>y</v>
      </c>
      <c r="W419" s="309" cm="1">
        <f t="array" ref="W419">_xlfn.IFS(AND(Q419="y",$D419="Local"), 1, AND(Q419="y",$D419&lt;&gt;"Local"),1.49009696454663%, Q419="","")</f>
        <v>1.49009696454663E-2</v>
      </c>
      <c r="X419" s="272" cm="1">
        <f t="array" ref="X419">_xlfn.IFS(AND(R419="y",$D419="Local"), 1, AND(R419="y",$D419&lt;&gt;"Local"),20.7557554582461%, R419="","")</f>
        <v>0.207557554582461</v>
      </c>
      <c r="Y419" s="272" cm="1">
        <f t="array" ref="Y419">_xlfn.IFS(AND(S419="y",$D419="Local"), 1, AND(S419="y",$D419&lt;&gt;"Local"),30.3499104327336%, S419="","")</f>
        <v>0.30349910432733601</v>
      </c>
      <c r="Z419" s="272" cm="1">
        <f t="array" ref="Z419">_xlfn.IFS(AND(T419="y",$D419="Local"), 1, AND(T419="y",$D419&lt;&gt;"Local"),29.0043833288201%, T419="","")</f>
        <v>0.29004383328820099</v>
      </c>
      <c r="AA419" s="272" cm="1">
        <f t="array" ref="AA419">_xlfn.IFS(AND(U419="y",$D419="Local"), 1, AND(U419="y",$D419&lt;&gt;"Local"),18.3998538156536%, U419="","")</f>
        <v>0.183998538156536</v>
      </c>
      <c r="AB419" s="68">
        <f t="shared" si="68"/>
        <v>1.0000000000000004</v>
      </c>
      <c r="AD419" s="306">
        <f t="shared" si="69"/>
        <v>2644.9221120702668</v>
      </c>
      <c r="AE419" s="242">
        <f t="shared" si="70"/>
        <v>36841.465938386813</v>
      </c>
      <c r="AF419" s="242">
        <f t="shared" si="71"/>
        <v>53871.091018102125</v>
      </c>
      <c r="AG419" s="242">
        <f t="shared" si="72"/>
        <v>51482.780408655657</v>
      </c>
      <c r="AH419" s="353">
        <f t="shared" si="73"/>
        <v>32659.740522785123</v>
      </c>
    </row>
    <row r="420" spans="2:34">
      <c r="B420" s="166" t="s">
        <v>545</v>
      </c>
      <c r="C420" s="150"/>
      <c r="D420" s="150" t="s">
        <v>118</v>
      </c>
      <c r="E420" s="150" t="s">
        <v>140</v>
      </c>
      <c r="F420" s="150" t="s">
        <v>943</v>
      </c>
      <c r="G420" s="146">
        <v>56000</v>
      </c>
      <c r="H420" s="155">
        <v>1303</v>
      </c>
      <c r="I420" s="135">
        <f t="shared" si="74"/>
        <v>45</v>
      </c>
      <c r="J420" s="147">
        <v>114635</v>
      </c>
      <c r="K420" s="150"/>
      <c r="L420" s="88">
        <f t="shared" si="75"/>
        <v>0</v>
      </c>
      <c r="M420" s="160"/>
      <c r="N420" s="167">
        <v>2016</v>
      </c>
      <c r="O420" s="167">
        <f>IFERROR(('General Input Sheet'!$G$38/(VLOOKUP(N420,'General Input Sheet'!$E$38:$G$44,3,FALSE))),1)</f>
        <v>1</v>
      </c>
      <c r="P420" s="189">
        <f t="shared" si="67"/>
        <v>114635</v>
      </c>
      <c r="Q420" s="89" t="str">
        <f t="shared" si="66"/>
        <v>y</v>
      </c>
      <c r="R420" s="89" t="str">
        <f t="shared" si="66"/>
        <v>y</v>
      </c>
      <c r="S420" s="89" t="str">
        <f t="shared" si="66"/>
        <v>y</v>
      </c>
      <c r="T420" s="89" t="str">
        <f t="shared" si="66"/>
        <v>y</v>
      </c>
      <c r="U420" s="254" t="str">
        <f t="shared" si="66"/>
        <v>y</v>
      </c>
      <c r="W420" s="309" cm="1">
        <f t="array" ref="W420">_xlfn.IFS(AND(Q420="y",$D420="Local"), 1, AND(Q420="y",$D420&lt;&gt;"Local"),1.49009696454663%, Q420="","")</f>
        <v>1.49009696454663E-2</v>
      </c>
      <c r="X420" s="272" cm="1">
        <f t="array" ref="X420">_xlfn.IFS(AND(R420="y",$D420="Local"), 1, AND(R420="y",$D420&lt;&gt;"Local"),20.7557554582461%, R420="","")</f>
        <v>0.207557554582461</v>
      </c>
      <c r="Y420" s="272" cm="1">
        <f t="array" ref="Y420">_xlfn.IFS(AND(S420="y",$D420="Local"), 1, AND(S420="y",$D420&lt;&gt;"Local"),30.3499104327336%, S420="","")</f>
        <v>0.30349910432733601</v>
      </c>
      <c r="Z420" s="272" cm="1">
        <f t="array" ref="Z420">_xlfn.IFS(AND(T420="y",$D420="Local"), 1, AND(T420="y",$D420&lt;&gt;"Local"),29.0043833288201%, T420="","")</f>
        <v>0.29004383328820099</v>
      </c>
      <c r="AA420" s="272" cm="1">
        <f t="array" ref="AA420">_xlfn.IFS(AND(U420="y",$D420="Local"), 1, AND(U420="y",$D420&lt;&gt;"Local"),18.3998538156536%, U420="","")</f>
        <v>0.183998538156536</v>
      </c>
      <c r="AB420" s="68">
        <f t="shared" si="68"/>
        <v>1.0000000000000004</v>
      </c>
      <c r="AD420" s="306">
        <f t="shared" si="69"/>
        <v>1708.1726553080284</v>
      </c>
      <c r="AE420" s="242">
        <f t="shared" si="70"/>
        <v>23793.360269560406</v>
      </c>
      <c r="AF420" s="242">
        <f t="shared" si="71"/>
        <v>34791.61982456415</v>
      </c>
      <c r="AG420" s="242">
        <f t="shared" si="72"/>
        <v>33249.174828992909</v>
      </c>
      <c r="AH420" s="353">
        <f t="shared" si="73"/>
        <v>21092.672421574494</v>
      </c>
    </row>
    <row r="421" spans="2:34">
      <c r="B421" s="166" t="s">
        <v>546</v>
      </c>
      <c r="C421" s="150"/>
      <c r="D421" s="150" t="s">
        <v>118</v>
      </c>
      <c r="E421" s="150" t="s">
        <v>140</v>
      </c>
      <c r="F421" s="150" t="s">
        <v>939</v>
      </c>
      <c r="G421" s="146">
        <v>56000</v>
      </c>
      <c r="H421" s="155">
        <v>2430</v>
      </c>
      <c r="I421" s="135">
        <f t="shared" si="74"/>
        <v>45</v>
      </c>
      <c r="J421" s="147">
        <v>165350</v>
      </c>
      <c r="K421" s="150"/>
      <c r="L421" s="88">
        <f t="shared" si="75"/>
        <v>0</v>
      </c>
      <c r="M421" s="160"/>
      <c r="N421" s="167">
        <v>2016</v>
      </c>
      <c r="O421" s="167">
        <f>IFERROR(('General Input Sheet'!$G$38/(VLOOKUP(N421,'General Input Sheet'!$E$38:$G$44,3,FALSE))),1)</f>
        <v>1</v>
      </c>
      <c r="P421" s="189">
        <f t="shared" si="67"/>
        <v>165350</v>
      </c>
      <c r="Q421" s="89" t="str">
        <f t="shared" si="66"/>
        <v>y</v>
      </c>
      <c r="R421" s="89" t="str">
        <f t="shared" si="66"/>
        <v>y</v>
      </c>
      <c r="S421" s="89" t="str">
        <f t="shared" si="66"/>
        <v>y</v>
      </c>
      <c r="T421" s="89" t="str">
        <f t="shared" si="66"/>
        <v>y</v>
      </c>
      <c r="U421" s="254" t="str">
        <f t="shared" si="66"/>
        <v>y</v>
      </c>
      <c r="W421" s="309" cm="1">
        <f t="array" ref="W421">_xlfn.IFS(AND(Q421="y",$D421="Local"), 1, AND(Q421="y",$D421&lt;&gt;"Local"),1.49009696454663%, Q421="","")</f>
        <v>1.49009696454663E-2</v>
      </c>
      <c r="X421" s="272" cm="1">
        <f t="array" ref="X421">_xlfn.IFS(AND(R421="y",$D421="Local"), 1, AND(R421="y",$D421&lt;&gt;"Local"),20.7557554582461%, R421="","")</f>
        <v>0.207557554582461</v>
      </c>
      <c r="Y421" s="272" cm="1">
        <f t="array" ref="Y421">_xlfn.IFS(AND(S421="y",$D421="Local"), 1, AND(S421="y",$D421&lt;&gt;"Local"),30.3499104327336%, S421="","")</f>
        <v>0.30349910432733601</v>
      </c>
      <c r="Z421" s="272" cm="1">
        <f t="array" ref="Z421">_xlfn.IFS(AND(T421="y",$D421="Local"), 1, AND(T421="y",$D421&lt;&gt;"Local"),29.0043833288201%, T421="","")</f>
        <v>0.29004383328820099</v>
      </c>
      <c r="AA421" s="272" cm="1">
        <f t="array" ref="AA421">_xlfn.IFS(AND(U421="y",$D421="Local"), 1, AND(U421="y",$D421&lt;&gt;"Local"),18.3998538156536%, U421="","")</f>
        <v>0.183998538156536</v>
      </c>
      <c r="AB421" s="68">
        <f t="shared" si="68"/>
        <v>1.0000000000000004</v>
      </c>
      <c r="AD421" s="306">
        <f t="shared" si="69"/>
        <v>2463.8753308778514</v>
      </c>
      <c r="AE421" s="242">
        <f t="shared" si="70"/>
        <v>34319.641650209916</v>
      </c>
      <c r="AF421" s="242">
        <f t="shared" si="71"/>
        <v>50183.576900524989</v>
      </c>
      <c r="AG421" s="242">
        <f t="shared" si="72"/>
        <v>47958.747834204012</v>
      </c>
      <c r="AH421" s="353">
        <f t="shared" si="73"/>
        <v>30424.158284183213</v>
      </c>
    </row>
    <row r="422" spans="2:34">
      <c r="B422" s="166" t="s">
        <v>547</v>
      </c>
      <c r="C422" s="150"/>
      <c r="D422" s="150" t="s">
        <v>118</v>
      </c>
      <c r="E422" s="150" t="s">
        <v>140</v>
      </c>
      <c r="F422" s="150" t="s">
        <v>944</v>
      </c>
      <c r="G422" s="146">
        <v>56000</v>
      </c>
      <c r="H422" s="155">
        <v>13970</v>
      </c>
      <c r="I422" s="135">
        <f t="shared" si="74"/>
        <v>45</v>
      </c>
      <c r="J422" s="147">
        <v>684650</v>
      </c>
      <c r="K422" s="150"/>
      <c r="L422" s="88">
        <f t="shared" si="75"/>
        <v>0</v>
      </c>
      <c r="M422" s="160"/>
      <c r="N422" s="167">
        <v>2016</v>
      </c>
      <c r="O422" s="167">
        <f>IFERROR(('General Input Sheet'!$G$38/(VLOOKUP(N422,'General Input Sheet'!$E$38:$G$44,3,FALSE))),1)</f>
        <v>1</v>
      </c>
      <c r="P422" s="189">
        <f t="shared" si="67"/>
        <v>684650</v>
      </c>
      <c r="Q422" s="89" t="str">
        <f t="shared" si="66"/>
        <v>y</v>
      </c>
      <c r="R422" s="89" t="str">
        <f t="shared" si="66"/>
        <v>y</v>
      </c>
      <c r="S422" s="89" t="str">
        <f t="shared" si="66"/>
        <v>y</v>
      </c>
      <c r="T422" s="89" t="str">
        <f t="shared" si="66"/>
        <v>y</v>
      </c>
      <c r="U422" s="254" t="str">
        <f t="shared" si="66"/>
        <v>y</v>
      </c>
      <c r="W422" s="309" cm="1">
        <f t="array" ref="W422">_xlfn.IFS(AND(Q422="y",$D422="Local"), 1, AND(Q422="y",$D422&lt;&gt;"Local"),1.49009696454663%, Q422="","")</f>
        <v>1.49009696454663E-2</v>
      </c>
      <c r="X422" s="272" cm="1">
        <f t="array" ref="X422">_xlfn.IFS(AND(R422="y",$D422="Local"), 1, AND(R422="y",$D422&lt;&gt;"Local"),20.7557554582461%, R422="","")</f>
        <v>0.207557554582461</v>
      </c>
      <c r="Y422" s="272" cm="1">
        <f t="array" ref="Y422">_xlfn.IFS(AND(S422="y",$D422="Local"), 1, AND(S422="y",$D422&lt;&gt;"Local"),30.3499104327336%, S422="","")</f>
        <v>0.30349910432733601</v>
      </c>
      <c r="Z422" s="272" cm="1">
        <f t="array" ref="Z422">_xlfn.IFS(AND(T422="y",$D422="Local"), 1, AND(T422="y",$D422&lt;&gt;"Local"),29.0043833288201%, T422="","")</f>
        <v>0.29004383328820099</v>
      </c>
      <c r="AA422" s="272" cm="1">
        <f t="array" ref="AA422">_xlfn.IFS(AND(U422="y",$D422="Local"), 1, AND(U422="y",$D422&lt;&gt;"Local"),18.3998538156536%, U422="","")</f>
        <v>0.183998538156536</v>
      </c>
      <c r="AB422" s="68">
        <f t="shared" si="68"/>
        <v>1.0000000000000004</v>
      </c>
      <c r="AD422" s="306">
        <f t="shared" si="69"/>
        <v>10201.948867768499</v>
      </c>
      <c r="AE422" s="242">
        <f t="shared" si="70"/>
        <v>142104.27974488187</v>
      </c>
      <c r="AF422" s="242">
        <f t="shared" si="71"/>
        <v>207790.66177771051</v>
      </c>
      <c r="AG422" s="242">
        <f t="shared" si="72"/>
        <v>198578.51046076673</v>
      </c>
      <c r="AH422" s="353">
        <f t="shared" si="73"/>
        <v>125974.59914887231</v>
      </c>
    </row>
    <row r="423" spans="2:34">
      <c r="B423" s="166" t="s">
        <v>548</v>
      </c>
      <c r="C423" s="150"/>
      <c r="D423" s="150" t="s">
        <v>116</v>
      </c>
      <c r="E423" s="150" t="s">
        <v>142</v>
      </c>
      <c r="F423" s="150" t="s">
        <v>940</v>
      </c>
      <c r="G423" s="146">
        <v>56000</v>
      </c>
      <c r="H423" s="155">
        <v>8094</v>
      </c>
      <c r="I423" s="135">
        <f t="shared" si="74"/>
        <v>45</v>
      </c>
      <c r="J423" s="147">
        <v>420230</v>
      </c>
      <c r="K423" s="150"/>
      <c r="L423" s="88">
        <f t="shared" si="75"/>
        <v>0</v>
      </c>
      <c r="M423" s="160"/>
      <c r="N423" s="167">
        <v>2016</v>
      </c>
      <c r="O423" s="167">
        <f>IFERROR(('General Input Sheet'!$G$38/(VLOOKUP(N423,'General Input Sheet'!$E$38:$G$44,3,FALSE))),1)</f>
        <v>1</v>
      </c>
      <c r="P423" s="189">
        <f t="shared" si="67"/>
        <v>420230</v>
      </c>
      <c r="Q423" s="89" t="str">
        <f t="shared" si="66"/>
        <v/>
      </c>
      <c r="R423" s="89" t="str">
        <f t="shared" si="66"/>
        <v/>
      </c>
      <c r="S423" s="89" t="str">
        <f t="shared" si="66"/>
        <v/>
      </c>
      <c r="T423" s="89" t="str">
        <f t="shared" si="66"/>
        <v>y</v>
      </c>
      <c r="U423" s="254" t="str">
        <f t="shared" si="66"/>
        <v/>
      </c>
      <c r="W423" s="309" t="str" cm="1">
        <f t="array" ref="W423">_xlfn.IFS(AND(Q423="y",$D423="Local"), 1, AND(Q423="y",$D423&lt;&gt;"Local"),1.49009696454663%, Q423="","")</f>
        <v/>
      </c>
      <c r="X423" s="272" t="str" cm="1">
        <f t="array" ref="X423">_xlfn.IFS(AND(R423="y",$D423="Local"), 1, AND(R423="y",$D423&lt;&gt;"Local"),20.7557554582461%, R423="","")</f>
        <v/>
      </c>
      <c r="Y423" s="272" t="str" cm="1">
        <f t="array" ref="Y423">_xlfn.IFS(AND(S423="y",$D423="Local"), 1, AND(S423="y",$D423&lt;&gt;"Local"),30.3499104327336%, S423="","")</f>
        <v/>
      </c>
      <c r="Z423" s="272" cm="1">
        <f t="array" ref="Z423">_xlfn.IFS(AND(T423="y",$D423="Local"), 1, AND(T423="y",$D423&lt;&gt;"Local"),29.0043833288201%, T423="","")</f>
        <v>1</v>
      </c>
      <c r="AA423" s="272" t="str" cm="1">
        <f t="array" ref="AA423">_xlfn.IFS(AND(U423="y",$D423="Local"), 1, AND(U423="y",$D423&lt;&gt;"Local"),18.3998538156536%, U423="","")</f>
        <v/>
      </c>
      <c r="AB423" s="68">
        <f t="shared" si="68"/>
        <v>1</v>
      </c>
      <c r="AD423" s="306" t="str">
        <f t="shared" si="69"/>
        <v/>
      </c>
      <c r="AE423" s="242" t="str">
        <f t="shared" si="70"/>
        <v/>
      </c>
      <c r="AF423" s="242" t="str">
        <f t="shared" si="71"/>
        <v/>
      </c>
      <c r="AG423" s="242">
        <f t="shared" si="72"/>
        <v>420230</v>
      </c>
      <c r="AH423" s="353" t="str">
        <f t="shared" si="73"/>
        <v/>
      </c>
    </row>
    <row r="424" spans="2:34">
      <c r="B424" s="166" t="s">
        <v>549</v>
      </c>
      <c r="C424" s="150"/>
      <c r="D424" s="150" t="s">
        <v>116</v>
      </c>
      <c r="E424" s="150" t="s">
        <v>141</v>
      </c>
      <c r="F424" s="150" t="s">
        <v>939</v>
      </c>
      <c r="G424" s="146">
        <v>56000</v>
      </c>
      <c r="H424" s="155">
        <v>607</v>
      </c>
      <c r="I424" s="135">
        <f t="shared" si="74"/>
        <v>45</v>
      </c>
      <c r="J424" s="147">
        <v>83315</v>
      </c>
      <c r="K424" s="150"/>
      <c r="L424" s="88">
        <f t="shared" si="75"/>
        <v>0</v>
      </c>
      <c r="M424" s="160"/>
      <c r="N424" s="167">
        <v>2016</v>
      </c>
      <c r="O424" s="167">
        <f>IFERROR(('General Input Sheet'!$G$38/(VLOOKUP(N424,'General Input Sheet'!$E$38:$G$44,3,FALSE))),1)</f>
        <v>1</v>
      </c>
      <c r="P424" s="189">
        <f t="shared" si="67"/>
        <v>83315</v>
      </c>
      <c r="Q424" s="89" t="str">
        <f t="shared" si="66"/>
        <v/>
      </c>
      <c r="R424" s="89" t="str">
        <f t="shared" si="66"/>
        <v/>
      </c>
      <c r="S424" s="89" t="str">
        <f t="shared" si="66"/>
        <v>y</v>
      </c>
      <c r="T424" s="89" t="str">
        <f t="shared" si="66"/>
        <v/>
      </c>
      <c r="U424" s="254" t="str">
        <f t="shared" si="66"/>
        <v/>
      </c>
      <c r="W424" s="309" t="str" cm="1">
        <f t="array" ref="W424">_xlfn.IFS(AND(Q424="y",$D424="Local"), 1, AND(Q424="y",$D424&lt;&gt;"Local"),1.49009696454663%, Q424="","")</f>
        <v/>
      </c>
      <c r="X424" s="272" t="str" cm="1">
        <f t="array" ref="X424">_xlfn.IFS(AND(R424="y",$D424="Local"), 1, AND(R424="y",$D424&lt;&gt;"Local"),20.7557554582461%, R424="","")</f>
        <v/>
      </c>
      <c r="Y424" s="272" cm="1">
        <f t="array" ref="Y424">_xlfn.IFS(AND(S424="y",$D424="Local"), 1, AND(S424="y",$D424&lt;&gt;"Local"),30.3499104327336%, S424="","")</f>
        <v>1</v>
      </c>
      <c r="Z424" s="272" t="str" cm="1">
        <f t="array" ref="Z424">_xlfn.IFS(AND(T424="y",$D424="Local"), 1, AND(T424="y",$D424&lt;&gt;"Local"),29.0043833288201%, T424="","")</f>
        <v/>
      </c>
      <c r="AA424" s="272" t="str" cm="1">
        <f t="array" ref="AA424">_xlfn.IFS(AND(U424="y",$D424="Local"), 1, AND(U424="y",$D424&lt;&gt;"Local"),18.3998538156536%, U424="","")</f>
        <v/>
      </c>
      <c r="AB424" s="68">
        <f t="shared" si="68"/>
        <v>1</v>
      </c>
      <c r="AD424" s="306" t="str">
        <f t="shared" si="69"/>
        <v/>
      </c>
      <c r="AE424" s="242" t="str">
        <f t="shared" si="70"/>
        <v/>
      </c>
      <c r="AF424" s="242">
        <f t="shared" si="71"/>
        <v>83315</v>
      </c>
      <c r="AG424" s="242" t="str">
        <f t="shared" si="72"/>
        <v/>
      </c>
      <c r="AH424" s="353" t="str">
        <f t="shared" si="73"/>
        <v/>
      </c>
    </row>
    <row r="425" spans="2:34">
      <c r="B425" s="166" t="s">
        <v>550</v>
      </c>
      <c r="C425" s="150"/>
      <c r="D425" s="150" t="s">
        <v>118</v>
      </c>
      <c r="E425" s="150" t="s">
        <v>141</v>
      </c>
      <c r="F425" s="150" t="s">
        <v>938</v>
      </c>
      <c r="G425" s="146">
        <v>56000</v>
      </c>
      <c r="H425" s="155">
        <v>339</v>
      </c>
      <c r="I425" s="135">
        <f t="shared" si="74"/>
        <v>45</v>
      </c>
      <c r="J425" s="147">
        <v>71255</v>
      </c>
      <c r="K425" s="150"/>
      <c r="L425" s="88">
        <f t="shared" si="75"/>
        <v>0</v>
      </c>
      <c r="M425" s="160"/>
      <c r="N425" s="167">
        <v>2016</v>
      </c>
      <c r="O425" s="167">
        <f>IFERROR(('General Input Sheet'!$G$38/(VLOOKUP(N425,'General Input Sheet'!$E$38:$G$44,3,FALSE))),1)</f>
        <v>1</v>
      </c>
      <c r="P425" s="189">
        <f t="shared" si="67"/>
        <v>71255</v>
      </c>
      <c r="Q425" s="89" t="str">
        <f t="shared" si="66"/>
        <v>y</v>
      </c>
      <c r="R425" s="89" t="str">
        <f t="shared" si="66"/>
        <v>y</v>
      </c>
      <c r="S425" s="89" t="str">
        <f t="shared" si="66"/>
        <v>y</v>
      </c>
      <c r="T425" s="89" t="str">
        <f t="shared" si="66"/>
        <v>y</v>
      </c>
      <c r="U425" s="254" t="str">
        <f t="shared" si="66"/>
        <v>y</v>
      </c>
      <c r="W425" s="309" cm="1">
        <f t="array" ref="W425">_xlfn.IFS(AND(Q425="y",$D425="Local"), 1, AND(Q425="y",$D425&lt;&gt;"Local"),1.49009696454663%, Q425="","")</f>
        <v>1.49009696454663E-2</v>
      </c>
      <c r="X425" s="272" cm="1">
        <f t="array" ref="X425">_xlfn.IFS(AND(R425="y",$D425="Local"), 1, AND(R425="y",$D425&lt;&gt;"Local"),20.7557554582461%, R425="","")</f>
        <v>0.207557554582461</v>
      </c>
      <c r="Y425" s="272" cm="1">
        <f t="array" ref="Y425">_xlfn.IFS(AND(S425="y",$D425="Local"), 1, AND(S425="y",$D425&lt;&gt;"Local"),30.3499104327336%, S425="","")</f>
        <v>0.30349910432733601</v>
      </c>
      <c r="Z425" s="272" cm="1">
        <f t="array" ref="Z425">_xlfn.IFS(AND(T425="y",$D425="Local"), 1, AND(T425="y",$D425&lt;&gt;"Local"),29.0043833288201%, T425="","")</f>
        <v>0.29004383328820099</v>
      </c>
      <c r="AA425" s="272" cm="1">
        <f t="array" ref="AA425">_xlfn.IFS(AND(U425="y",$D425="Local"), 1, AND(U425="y",$D425&lt;&gt;"Local"),18.3998538156536%, U425="","")</f>
        <v>0.183998538156536</v>
      </c>
      <c r="AB425" s="68">
        <f t="shared" si="68"/>
        <v>1.0000000000000004</v>
      </c>
      <c r="AD425" s="306">
        <f t="shared" si="69"/>
        <v>1061.7685920877007</v>
      </c>
      <c r="AE425" s="242">
        <f t="shared" si="70"/>
        <v>14789.513551773252</v>
      </c>
      <c r="AF425" s="242">
        <f t="shared" si="71"/>
        <v>21625.828678844318</v>
      </c>
      <c r="AG425" s="242">
        <f t="shared" si="72"/>
        <v>20667.073340950752</v>
      </c>
      <c r="AH425" s="353">
        <f t="shared" si="73"/>
        <v>13110.815836343967</v>
      </c>
    </row>
    <row r="426" spans="2:34">
      <c r="B426" s="166" t="s">
        <v>551</v>
      </c>
      <c r="C426" s="150"/>
      <c r="D426" s="150" t="s">
        <v>116</v>
      </c>
      <c r="E426" s="150" t="s">
        <v>141</v>
      </c>
      <c r="F426" s="150" t="s">
        <v>938</v>
      </c>
      <c r="G426" s="146">
        <v>56000</v>
      </c>
      <c r="H426" s="155">
        <v>1500</v>
      </c>
      <c r="I426" s="135">
        <f t="shared" si="74"/>
        <v>45</v>
      </c>
      <c r="J426" s="147">
        <v>123500</v>
      </c>
      <c r="K426" s="150"/>
      <c r="L426" s="88">
        <f t="shared" si="75"/>
        <v>0</v>
      </c>
      <c r="M426" s="160"/>
      <c r="N426" s="167">
        <v>2016</v>
      </c>
      <c r="O426" s="167">
        <f>IFERROR(('General Input Sheet'!$G$38/(VLOOKUP(N426,'General Input Sheet'!$E$38:$G$44,3,FALSE))),1)</f>
        <v>1</v>
      </c>
      <c r="P426" s="189">
        <f t="shared" si="67"/>
        <v>123500</v>
      </c>
      <c r="Q426" s="89" t="str">
        <f t="shared" si="66"/>
        <v/>
      </c>
      <c r="R426" s="89" t="str">
        <f t="shared" si="66"/>
        <v/>
      </c>
      <c r="S426" s="89" t="str">
        <f t="shared" si="66"/>
        <v>y</v>
      </c>
      <c r="T426" s="89" t="str">
        <f t="shared" si="66"/>
        <v/>
      </c>
      <c r="U426" s="254" t="str">
        <f t="shared" si="66"/>
        <v/>
      </c>
      <c r="W426" s="309" t="str" cm="1">
        <f t="array" ref="W426">_xlfn.IFS(AND(Q426="y",$D426="Local"), 1, AND(Q426="y",$D426&lt;&gt;"Local"),1.49009696454663%, Q426="","")</f>
        <v/>
      </c>
      <c r="X426" s="272" t="str" cm="1">
        <f t="array" ref="X426">_xlfn.IFS(AND(R426="y",$D426="Local"), 1, AND(R426="y",$D426&lt;&gt;"Local"),20.7557554582461%, R426="","")</f>
        <v/>
      </c>
      <c r="Y426" s="272" cm="1">
        <f t="array" ref="Y426">_xlfn.IFS(AND(S426="y",$D426="Local"), 1, AND(S426="y",$D426&lt;&gt;"Local"),30.3499104327336%, S426="","")</f>
        <v>1</v>
      </c>
      <c r="Z426" s="272" t="str" cm="1">
        <f t="array" ref="Z426">_xlfn.IFS(AND(T426="y",$D426="Local"), 1, AND(T426="y",$D426&lt;&gt;"Local"),29.0043833288201%, T426="","")</f>
        <v/>
      </c>
      <c r="AA426" s="272" t="str" cm="1">
        <f t="array" ref="AA426">_xlfn.IFS(AND(U426="y",$D426="Local"), 1, AND(U426="y",$D426&lt;&gt;"Local"),18.3998538156536%, U426="","")</f>
        <v/>
      </c>
      <c r="AB426" s="68">
        <f t="shared" si="68"/>
        <v>1</v>
      </c>
      <c r="AD426" s="306" t="str">
        <f t="shared" si="69"/>
        <v/>
      </c>
      <c r="AE426" s="242" t="str">
        <f t="shared" si="70"/>
        <v/>
      </c>
      <c r="AF426" s="242">
        <f t="shared" si="71"/>
        <v>123500</v>
      </c>
      <c r="AG426" s="242" t="str">
        <f t="shared" si="72"/>
        <v/>
      </c>
      <c r="AH426" s="353" t="str">
        <f t="shared" si="73"/>
        <v/>
      </c>
    </row>
    <row r="427" spans="2:34">
      <c r="B427" s="166" t="s">
        <v>552</v>
      </c>
      <c r="C427" s="150"/>
      <c r="D427" s="150" t="s">
        <v>117</v>
      </c>
      <c r="E427" s="150" t="s">
        <v>141</v>
      </c>
      <c r="F427" s="150" t="s">
        <v>942</v>
      </c>
      <c r="G427" s="146">
        <v>56000</v>
      </c>
      <c r="H427" s="155">
        <v>14000</v>
      </c>
      <c r="I427" s="135">
        <f t="shared" si="74"/>
        <v>45</v>
      </c>
      <c r="J427" s="147">
        <v>686000</v>
      </c>
      <c r="K427" s="150"/>
      <c r="L427" s="88">
        <f t="shared" si="75"/>
        <v>0</v>
      </c>
      <c r="M427" s="160"/>
      <c r="N427" s="167">
        <v>2016</v>
      </c>
      <c r="O427" s="167">
        <f>IFERROR(('General Input Sheet'!$G$38/(VLOOKUP(N427,'General Input Sheet'!$E$38:$G$44,3,FALSE))),1)</f>
        <v>1</v>
      </c>
      <c r="P427" s="189">
        <f t="shared" si="67"/>
        <v>686000</v>
      </c>
      <c r="Q427" s="89" t="str">
        <f t="shared" si="66"/>
        <v>y</v>
      </c>
      <c r="R427" s="89" t="str">
        <f t="shared" si="66"/>
        <v>y</v>
      </c>
      <c r="S427" s="89" t="str">
        <f t="shared" si="66"/>
        <v>y</v>
      </c>
      <c r="T427" s="89" t="str">
        <f t="shared" si="66"/>
        <v>y</v>
      </c>
      <c r="U427" s="254" t="str">
        <f t="shared" si="66"/>
        <v>y</v>
      </c>
      <c r="W427" s="309" cm="1">
        <f t="array" ref="W427">_xlfn.IFS(AND(Q427="y",$D427="Local"), 1, AND(Q427="y",$D427&lt;&gt;"Local"),1.49009696454663%, Q427="","")</f>
        <v>1.49009696454663E-2</v>
      </c>
      <c r="X427" s="272" cm="1">
        <f t="array" ref="X427">_xlfn.IFS(AND(R427="y",$D427="Local"), 1, AND(R427="y",$D427&lt;&gt;"Local"),20.7557554582461%, R427="","")</f>
        <v>0.207557554582461</v>
      </c>
      <c r="Y427" s="272" cm="1">
        <f t="array" ref="Y427">_xlfn.IFS(AND(S427="y",$D427="Local"), 1, AND(S427="y",$D427&lt;&gt;"Local"),30.3499104327336%, S427="","")</f>
        <v>0.30349910432733601</v>
      </c>
      <c r="Z427" s="272" cm="1">
        <f t="array" ref="Z427">_xlfn.IFS(AND(T427="y",$D427="Local"), 1, AND(T427="y",$D427&lt;&gt;"Local"),29.0043833288201%, T427="","")</f>
        <v>0.29004383328820099</v>
      </c>
      <c r="AA427" s="272" cm="1">
        <f t="array" ref="AA427">_xlfn.IFS(AND(U427="y",$D427="Local"), 1, AND(U427="y",$D427&lt;&gt;"Local"),18.3998538156536%, U427="","")</f>
        <v>0.183998538156536</v>
      </c>
      <c r="AB427" s="68">
        <f t="shared" si="68"/>
        <v>1.0000000000000004</v>
      </c>
      <c r="AD427" s="306">
        <f t="shared" si="69"/>
        <v>10222.065176789878</v>
      </c>
      <c r="AE427" s="242">
        <f t="shared" si="70"/>
        <v>142384.48244356818</v>
      </c>
      <c r="AF427" s="242">
        <f t="shared" si="71"/>
        <v>208200.38556855242</v>
      </c>
      <c r="AG427" s="242">
        <f t="shared" si="72"/>
        <v>198970.06963570582</v>
      </c>
      <c r="AH427" s="353">
        <f t="shared" si="73"/>
        <v>126222.99717538363</v>
      </c>
    </row>
    <row r="428" spans="2:34">
      <c r="B428" s="166" t="s">
        <v>553</v>
      </c>
      <c r="C428" s="150"/>
      <c r="D428" s="150" t="s">
        <v>116</v>
      </c>
      <c r="E428" s="150" t="s">
        <v>141</v>
      </c>
      <c r="F428" s="150" t="s">
        <v>938</v>
      </c>
      <c r="G428" s="146">
        <v>56000</v>
      </c>
      <c r="H428" s="155">
        <v>640</v>
      </c>
      <c r="I428" s="135">
        <f t="shared" si="74"/>
        <v>45</v>
      </c>
      <c r="J428" s="147">
        <v>84800</v>
      </c>
      <c r="K428" s="150"/>
      <c r="L428" s="88">
        <f t="shared" si="75"/>
        <v>0</v>
      </c>
      <c r="M428" s="160"/>
      <c r="N428" s="167">
        <v>2016</v>
      </c>
      <c r="O428" s="167">
        <f>IFERROR(('General Input Sheet'!$G$38/(VLOOKUP(N428,'General Input Sheet'!$E$38:$G$44,3,FALSE))),1)</f>
        <v>1</v>
      </c>
      <c r="P428" s="189">
        <f t="shared" si="67"/>
        <v>84800</v>
      </c>
      <c r="Q428" s="89" t="str">
        <f t="shared" si="66"/>
        <v/>
      </c>
      <c r="R428" s="89" t="str">
        <f t="shared" si="66"/>
        <v/>
      </c>
      <c r="S428" s="89" t="str">
        <f t="shared" si="66"/>
        <v>y</v>
      </c>
      <c r="T428" s="89" t="str">
        <f t="shared" si="66"/>
        <v/>
      </c>
      <c r="U428" s="254" t="str">
        <f t="shared" si="66"/>
        <v/>
      </c>
      <c r="W428" s="309" t="str" cm="1">
        <f t="array" ref="W428">_xlfn.IFS(AND(Q428="y",$D428="Local"), 1, AND(Q428="y",$D428&lt;&gt;"Local"),1.49009696454663%, Q428="","")</f>
        <v/>
      </c>
      <c r="X428" s="272" t="str" cm="1">
        <f t="array" ref="X428">_xlfn.IFS(AND(R428="y",$D428="Local"), 1, AND(R428="y",$D428&lt;&gt;"Local"),20.7557554582461%, R428="","")</f>
        <v/>
      </c>
      <c r="Y428" s="272" cm="1">
        <f t="array" ref="Y428">_xlfn.IFS(AND(S428="y",$D428="Local"), 1, AND(S428="y",$D428&lt;&gt;"Local"),30.3499104327336%, S428="","")</f>
        <v>1</v>
      </c>
      <c r="Z428" s="272" t="str" cm="1">
        <f t="array" ref="Z428">_xlfn.IFS(AND(T428="y",$D428="Local"), 1, AND(T428="y",$D428&lt;&gt;"Local"),29.0043833288201%, T428="","")</f>
        <v/>
      </c>
      <c r="AA428" s="272" t="str" cm="1">
        <f t="array" ref="AA428">_xlfn.IFS(AND(U428="y",$D428="Local"), 1, AND(U428="y",$D428&lt;&gt;"Local"),18.3998538156536%, U428="","")</f>
        <v/>
      </c>
      <c r="AB428" s="68">
        <f t="shared" si="68"/>
        <v>1</v>
      </c>
      <c r="AD428" s="306" t="str">
        <f t="shared" si="69"/>
        <v/>
      </c>
      <c r="AE428" s="242" t="str">
        <f t="shared" si="70"/>
        <v/>
      </c>
      <c r="AF428" s="242">
        <f t="shared" si="71"/>
        <v>84800</v>
      </c>
      <c r="AG428" s="242" t="str">
        <f t="shared" si="72"/>
        <v/>
      </c>
      <c r="AH428" s="353" t="str">
        <f t="shared" si="73"/>
        <v/>
      </c>
    </row>
    <row r="429" spans="2:34">
      <c r="B429" s="166" t="s">
        <v>554</v>
      </c>
      <c r="C429" s="150"/>
      <c r="D429" s="150" t="s">
        <v>116</v>
      </c>
      <c r="E429" s="150" t="s">
        <v>141</v>
      </c>
      <c r="F429" s="150" t="s">
        <v>943</v>
      </c>
      <c r="G429" s="146">
        <v>56000</v>
      </c>
      <c r="H429" s="155">
        <v>430</v>
      </c>
      <c r="I429" s="135">
        <f t="shared" si="74"/>
        <v>45</v>
      </c>
      <c r="J429" s="147">
        <v>75350</v>
      </c>
      <c r="K429" s="150"/>
      <c r="L429" s="88">
        <f t="shared" si="75"/>
        <v>0</v>
      </c>
      <c r="M429" s="160"/>
      <c r="N429" s="167">
        <v>2016</v>
      </c>
      <c r="O429" s="167"/>
      <c r="P429" s="186">
        <f t="shared" si="67"/>
        <v>75350</v>
      </c>
      <c r="Q429" s="89" t="str">
        <f t="shared" si="66"/>
        <v/>
      </c>
      <c r="R429" s="89" t="str">
        <f t="shared" si="66"/>
        <v/>
      </c>
      <c r="S429" s="89" t="str">
        <f t="shared" si="66"/>
        <v>y</v>
      </c>
      <c r="T429" s="89" t="str">
        <f t="shared" si="66"/>
        <v/>
      </c>
      <c r="U429" s="254" t="str">
        <f t="shared" si="66"/>
        <v/>
      </c>
      <c r="W429" s="309" t="str" cm="1">
        <f t="array" ref="W429">_xlfn.IFS(AND(Q429="y",$D429="Local"), 1, AND(Q429="y",$D429&lt;&gt;"Local"),1.49009696454663%, Q429="","")</f>
        <v/>
      </c>
      <c r="X429" s="272" t="str" cm="1">
        <f t="array" ref="X429">_xlfn.IFS(AND(R429="y",$D429="Local"), 1, AND(R429="y",$D429&lt;&gt;"Local"),20.7557554582461%, R429="","")</f>
        <v/>
      </c>
      <c r="Y429" s="272" cm="1">
        <f t="array" ref="Y429">_xlfn.IFS(AND(S429="y",$D429="Local"), 1, AND(S429="y",$D429&lt;&gt;"Local"),30.3499104327336%, S429="","")</f>
        <v>1</v>
      </c>
      <c r="Z429" s="272" t="str" cm="1">
        <f t="array" ref="Z429">_xlfn.IFS(AND(T429="y",$D429="Local"), 1, AND(T429="y",$D429&lt;&gt;"Local"),29.0043833288201%, T429="","")</f>
        <v/>
      </c>
      <c r="AA429" s="272" t="str" cm="1">
        <f t="array" ref="AA429">_xlfn.IFS(AND(U429="y",$D429="Local"), 1, AND(U429="y",$D429&lt;&gt;"Local"),18.3998538156536%, U429="","")</f>
        <v/>
      </c>
      <c r="AB429" s="68">
        <f t="shared" si="68"/>
        <v>1</v>
      </c>
      <c r="AD429" s="306" t="str">
        <f t="shared" si="69"/>
        <v/>
      </c>
      <c r="AE429" s="242" t="str">
        <f t="shared" si="70"/>
        <v/>
      </c>
      <c r="AF429" s="242">
        <f t="shared" si="71"/>
        <v>75350</v>
      </c>
      <c r="AG429" s="242" t="str">
        <f t="shared" si="72"/>
        <v/>
      </c>
      <c r="AH429" s="353" t="str">
        <f t="shared" si="73"/>
        <v/>
      </c>
    </row>
    <row r="430" spans="2:34">
      <c r="B430" s="166" t="s">
        <v>555</v>
      </c>
      <c r="C430" s="150"/>
      <c r="D430" s="150" t="s">
        <v>116</v>
      </c>
      <c r="E430" s="150" t="s">
        <v>141</v>
      </c>
      <c r="F430" s="150" t="s">
        <v>939</v>
      </c>
      <c r="G430" s="146">
        <v>56000</v>
      </c>
      <c r="H430" s="155">
        <v>378</v>
      </c>
      <c r="I430" s="135">
        <f t="shared" si="74"/>
        <v>45</v>
      </c>
      <c r="J430" s="147">
        <v>73010</v>
      </c>
      <c r="K430" s="150"/>
      <c r="L430" s="88">
        <f t="shared" si="75"/>
        <v>0</v>
      </c>
      <c r="M430" s="160"/>
      <c r="N430" s="167">
        <v>2016</v>
      </c>
      <c r="O430" s="167"/>
      <c r="P430" s="186">
        <f t="shared" si="67"/>
        <v>73010</v>
      </c>
      <c r="Q430" s="89" t="str">
        <f t="shared" si="66"/>
        <v/>
      </c>
      <c r="R430" s="89" t="str">
        <f t="shared" si="66"/>
        <v/>
      </c>
      <c r="S430" s="89" t="str">
        <f t="shared" si="66"/>
        <v>y</v>
      </c>
      <c r="T430" s="89" t="str">
        <f t="shared" si="66"/>
        <v/>
      </c>
      <c r="U430" s="254" t="str">
        <f t="shared" si="66"/>
        <v/>
      </c>
      <c r="W430" s="309" t="str" cm="1">
        <f t="array" ref="W430">_xlfn.IFS(AND(Q430="y",$D430="Local"), 1, AND(Q430="y",$D430&lt;&gt;"Local"),1.49009696454663%, Q430="","")</f>
        <v/>
      </c>
      <c r="X430" s="272" t="str" cm="1">
        <f t="array" ref="X430">_xlfn.IFS(AND(R430="y",$D430="Local"), 1, AND(R430="y",$D430&lt;&gt;"Local"),20.7557554582461%, R430="","")</f>
        <v/>
      </c>
      <c r="Y430" s="272" cm="1">
        <f t="array" ref="Y430">_xlfn.IFS(AND(S430="y",$D430="Local"), 1, AND(S430="y",$D430&lt;&gt;"Local"),30.3499104327336%, S430="","")</f>
        <v>1</v>
      </c>
      <c r="Z430" s="272" t="str" cm="1">
        <f t="array" ref="Z430">_xlfn.IFS(AND(T430="y",$D430="Local"), 1, AND(T430="y",$D430&lt;&gt;"Local"),29.0043833288201%, T430="","")</f>
        <v/>
      </c>
      <c r="AA430" s="272" t="str" cm="1">
        <f t="array" ref="AA430">_xlfn.IFS(AND(U430="y",$D430="Local"), 1, AND(U430="y",$D430&lt;&gt;"Local"),18.3998538156536%, U430="","")</f>
        <v/>
      </c>
      <c r="AB430" s="68">
        <f t="shared" si="68"/>
        <v>1</v>
      </c>
      <c r="AD430" s="306" t="str">
        <f t="shared" si="69"/>
        <v/>
      </c>
      <c r="AE430" s="242" t="str">
        <f t="shared" si="70"/>
        <v/>
      </c>
      <c r="AF430" s="242">
        <f t="shared" si="71"/>
        <v>73010</v>
      </c>
      <c r="AG430" s="242" t="str">
        <f t="shared" si="72"/>
        <v/>
      </c>
      <c r="AH430" s="353" t="str">
        <f t="shared" si="73"/>
        <v/>
      </c>
    </row>
    <row r="431" spans="2:34">
      <c r="B431" s="166" t="s">
        <v>556</v>
      </c>
      <c r="C431" s="150"/>
      <c r="D431" s="150" t="s">
        <v>118</v>
      </c>
      <c r="E431" s="150" t="s">
        <v>140</v>
      </c>
      <c r="F431" s="150" t="s">
        <v>938</v>
      </c>
      <c r="G431" s="146">
        <v>56000</v>
      </c>
      <c r="H431" s="155">
        <v>7355</v>
      </c>
      <c r="I431" s="135">
        <f t="shared" si="74"/>
        <v>45</v>
      </c>
      <c r="J431" s="147">
        <v>386975</v>
      </c>
      <c r="K431" s="150"/>
      <c r="L431" s="88">
        <f t="shared" si="75"/>
        <v>0</v>
      </c>
      <c r="M431" s="160"/>
      <c r="N431" s="167">
        <v>2016</v>
      </c>
      <c r="O431" s="167">
        <f>IFERROR(('General Input Sheet'!$G$38/(VLOOKUP(N431,'General Input Sheet'!$E$38:$G$44,3,FALSE))),1)</f>
        <v>1</v>
      </c>
      <c r="P431" s="189">
        <f t="shared" si="67"/>
        <v>386975</v>
      </c>
      <c r="Q431" s="89" t="str">
        <f t="shared" si="66"/>
        <v>y</v>
      </c>
      <c r="R431" s="89" t="str">
        <f t="shared" si="66"/>
        <v>y</v>
      </c>
      <c r="S431" s="89" t="str">
        <f t="shared" si="66"/>
        <v>y</v>
      </c>
      <c r="T431" s="89" t="str">
        <f t="shared" si="66"/>
        <v>y</v>
      </c>
      <c r="U431" s="254" t="str">
        <f t="shared" si="66"/>
        <v>y</v>
      </c>
      <c r="W431" s="309" cm="1">
        <f t="array" ref="W431">_xlfn.IFS(AND(Q431="y",$D431="Local"), 1, AND(Q431="y",$D431&lt;&gt;"Local"),1.49009696454663%, Q431="","")</f>
        <v>1.49009696454663E-2</v>
      </c>
      <c r="X431" s="272" cm="1">
        <f t="array" ref="X431">_xlfn.IFS(AND(R431="y",$D431="Local"), 1, AND(R431="y",$D431&lt;&gt;"Local"),20.7557554582461%, R431="","")</f>
        <v>0.207557554582461</v>
      </c>
      <c r="Y431" s="272" cm="1">
        <f t="array" ref="Y431">_xlfn.IFS(AND(S431="y",$D431="Local"), 1, AND(S431="y",$D431&lt;&gt;"Local"),30.3499104327336%, S431="","")</f>
        <v>0.30349910432733601</v>
      </c>
      <c r="Z431" s="272" cm="1">
        <f t="array" ref="Z431">_xlfn.IFS(AND(T431="y",$D431="Local"), 1, AND(T431="y",$D431&lt;&gt;"Local"),29.0043833288201%, T431="","")</f>
        <v>0.29004383328820099</v>
      </c>
      <c r="AA431" s="272" cm="1">
        <f t="array" ref="AA431">_xlfn.IFS(AND(U431="y",$D431="Local"), 1, AND(U431="y",$D431&lt;&gt;"Local"),18.3998538156536%, U431="","")</f>
        <v>0.183998538156536</v>
      </c>
      <c r="AB431" s="68">
        <f t="shared" si="68"/>
        <v>1.0000000000000004</v>
      </c>
      <c r="AD431" s="306">
        <f t="shared" si="69"/>
        <v>5766.3027285543185</v>
      </c>
      <c r="AE431" s="242">
        <f t="shared" si="70"/>
        <v>80319.584684547808</v>
      </c>
      <c r="AF431" s="242">
        <f t="shared" si="71"/>
        <v>117446.5658970708</v>
      </c>
      <c r="AG431" s="242">
        <f t="shared" si="72"/>
        <v>112239.71238670153</v>
      </c>
      <c r="AH431" s="353">
        <f t="shared" si="73"/>
        <v>71202.834303125492</v>
      </c>
    </row>
    <row r="432" spans="2:34">
      <c r="B432" s="166" t="s">
        <v>557</v>
      </c>
      <c r="C432" s="150"/>
      <c r="D432" s="150" t="s">
        <v>118</v>
      </c>
      <c r="E432" s="150" t="s">
        <v>143</v>
      </c>
      <c r="F432" s="150" t="s">
        <v>941</v>
      </c>
      <c r="G432" s="146">
        <v>56000</v>
      </c>
      <c r="H432" s="155">
        <v>5094</v>
      </c>
      <c r="I432" s="135">
        <f t="shared" si="74"/>
        <v>45</v>
      </c>
      <c r="J432" s="147">
        <v>285230</v>
      </c>
      <c r="K432" s="150"/>
      <c r="L432" s="88">
        <f t="shared" si="75"/>
        <v>0</v>
      </c>
      <c r="M432" s="160"/>
      <c r="N432" s="167">
        <v>2016</v>
      </c>
      <c r="O432" s="167">
        <f>IFERROR(('General Input Sheet'!$G$38/(VLOOKUP(N432,'General Input Sheet'!$E$38:$G$44,3,FALSE))),1)</f>
        <v>1</v>
      </c>
      <c r="P432" s="189">
        <f t="shared" si="67"/>
        <v>285230</v>
      </c>
      <c r="Q432" s="89" t="str">
        <f t="shared" si="66"/>
        <v>y</v>
      </c>
      <c r="R432" s="89" t="str">
        <f t="shared" si="66"/>
        <v>y</v>
      </c>
      <c r="S432" s="89" t="str">
        <f t="shared" si="66"/>
        <v>y</v>
      </c>
      <c r="T432" s="89" t="str">
        <f t="shared" si="66"/>
        <v>y</v>
      </c>
      <c r="U432" s="254" t="str">
        <f t="shared" si="66"/>
        <v>y</v>
      </c>
      <c r="W432" s="309" cm="1">
        <f t="array" ref="W432">_xlfn.IFS(AND(Q432="y",$D432="Local"), 1, AND(Q432="y",$D432&lt;&gt;"Local"),1.49009696454663%, Q432="","")</f>
        <v>1.49009696454663E-2</v>
      </c>
      <c r="X432" s="272" cm="1">
        <f t="array" ref="X432">_xlfn.IFS(AND(R432="y",$D432="Local"), 1, AND(R432="y",$D432&lt;&gt;"Local"),20.7557554582461%, R432="","")</f>
        <v>0.207557554582461</v>
      </c>
      <c r="Y432" s="272" cm="1">
        <f t="array" ref="Y432">_xlfn.IFS(AND(S432="y",$D432="Local"), 1, AND(S432="y",$D432&lt;&gt;"Local"),30.3499104327336%, S432="","")</f>
        <v>0.30349910432733601</v>
      </c>
      <c r="Z432" s="272" cm="1">
        <f t="array" ref="Z432">_xlfn.IFS(AND(T432="y",$D432="Local"), 1, AND(T432="y",$D432&lt;&gt;"Local"),29.0043833288201%, T432="","")</f>
        <v>0.29004383328820099</v>
      </c>
      <c r="AA432" s="272" cm="1">
        <f t="array" ref="AA432">_xlfn.IFS(AND(U432="y",$D432="Local"), 1, AND(U432="y",$D432&lt;&gt;"Local"),18.3998538156536%, U432="","")</f>
        <v>0.183998538156536</v>
      </c>
      <c r="AB432" s="68">
        <f t="shared" si="68"/>
        <v>1.0000000000000004</v>
      </c>
      <c r="AD432" s="306">
        <f t="shared" si="69"/>
        <v>4250.2035719763508</v>
      </c>
      <c r="AE432" s="242">
        <f t="shared" si="70"/>
        <v>59201.641293555331</v>
      </c>
      <c r="AF432" s="242">
        <f t="shared" si="71"/>
        <v>86567.049527286013</v>
      </c>
      <c r="AG432" s="242">
        <f t="shared" si="72"/>
        <v>82729.202568793538</v>
      </c>
      <c r="AH432" s="353">
        <f t="shared" si="73"/>
        <v>52481.903038388737</v>
      </c>
    </row>
    <row r="433" spans="2:34">
      <c r="B433" s="166" t="s">
        <v>558</v>
      </c>
      <c r="C433" s="150"/>
      <c r="D433" s="150" t="s">
        <v>118</v>
      </c>
      <c r="E433" s="150" t="s">
        <v>140</v>
      </c>
      <c r="F433" s="150" t="s">
        <v>939</v>
      </c>
      <c r="G433" s="146">
        <v>56000</v>
      </c>
      <c r="H433" s="155">
        <v>2500</v>
      </c>
      <c r="I433" s="135">
        <f t="shared" si="74"/>
        <v>45</v>
      </c>
      <c r="J433" s="147">
        <v>168500</v>
      </c>
      <c r="K433" s="150"/>
      <c r="L433" s="88">
        <f t="shared" si="75"/>
        <v>0</v>
      </c>
      <c r="M433" s="160"/>
      <c r="N433" s="167">
        <v>2016</v>
      </c>
      <c r="O433" s="167">
        <f>IFERROR(('General Input Sheet'!$G$38/(VLOOKUP(N433,'General Input Sheet'!$E$38:$G$44,3,FALSE))),1)</f>
        <v>1</v>
      </c>
      <c r="P433" s="189">
        <f t="shared" si="67"/>
        <v>168500</v>
      </c>
      <c r="Q433" s="89" t="str">
        <f t="shared" si="66"/>
        <v>y</v>
      </c>
      <c r="R433" s="89" t="str">
        <f t="shared" si="66"/>
        <v>y</v>
      </c>
      <c r="S433" s="89" t="str">
        <f t="shared" si="66"/>
        <v>y</v>
      </c>
      <c r="T433" s="89" t="str">
        <f t="shared" si="66"/>
        <v>y</v>
      </c>
      <c r="U433" s="254" t="str">
        <f t="shared" si="66"/>
        <v>y</v>
      </c>
      <c r="W433" s="309" cm="1">
        <f t="array" ref="W433">_xlfn.IFS(AND(Q433="y",$D433="Local"), 1, AND(Q433="y",$D433&lt;&gt;"Local"),1.49009696454663%, Q433="","")</f>
        <v>1.49009696454663E-2</v>
      </c>
      <c r="X433" s="272" cm="1">
        <f t="array" ref="X433">_xlfn.IFS(AND(R433="y",$D433="Local"), 1, AND(R433="y",$D433&lt;&gt;"Local"),20.7557554582461%, R433="","")</f>
        <v>0.207557554582461</v>
      </c>
      <c r="Y433" s="272" cm="1">
        <f t="array" ref="Y433">_xlfn.IFS(AND(S433="y",$D433="Local"), 1, AND(S433="y",$D433&lt;&gt;"Local"),30.3499104327336%, S433="","")</f>
        <v>0.30349910432733601</v>
      </c>
      <c r="Z433" s="272" cm="1">
        <f t="array" ref="Z433">_xlfn.IFS(AND(T433="y",$D433="Local"), 1, AND(T433="y",$D433&lt;&gt;"Local"),29.0043833288201%, T433="","")</f>
        <v>0.29004383328820099</v>
      </c>
      <c r="AA433" s="272" cm="1">
        <f t="array" ref="AA433">_xlfn.IFS(AND(U433="y",$D433="Local"), 1, AND(U433="y",$D433&lt;&gt;"Local"),18.3998538156536%, U433="","")</f>
        <v>0.183998538156536</v>
      </c>
      <c r="AB433" s="68">
        <f t="shared" si="68"/>
        <v>1.0000000000000004</v>
      </c>
      <c r="AD433" s="306">
        <f t="shared" si="69"/>
        <v>2510.8133852610704</v>
      </c>
      <c r="AE433" s="242">
        <f t="shared" si="70"/>
        <v>34973.447947144661</v>
      </c>
      <c r="AF433" s="242">
        <f t="shared" si="71"/>
        <v>51139.599079156098</v>
      </c>
      <c r="AG433" s="242">
        <f t="shared" si="72"/>
        <v>48872.38590906185</v>
      </c>
      <c r="AH433" s="353">
        <f t="shared" si="73"/>
        <v>31003.753679376303</v>
      </c>
    </row>
    <row r="434" spans="2:34">
      <c r="B434" s="166" t="s">
        <v>559</v>
      </c>
      <c r="C434" s="150"/>
      <c r="D434" s="150" t="s">
        <v>118</v>
      </c>
      <c r="E434" s="150" t="s">
        <v>140</v>
      </c>
      <c r="F434" s="150" t="s">
        <v>939</v>
      </c>
      <c r="G434" s="146">
        <v>56000</v>
      </c>
      <c r="H434" s="155">
        <v>260</v>
      </c>
      <c r="I434" s="135">
        <f t="shared" si="74"/>
        <v>45</v>
      </c>
      <c r="J434" s="147">
        <v>67700</v>
      </c>
      <c r="K434" s="150"/>
      <c r="L434" s="88">
        <f t="shared" si="75"/>
        <v>0</v>
      </c>
      <c r="M434" s="160"/>
      <c r="N434" s="167">
        <v>2016</v>
      </c>
      <c r="O434" s="167">
        <f>IFERROR(('General Input Sheet'!$G$38/(VLOOKUP(N434,'General Input Sheet'!$E$38:$G$44,3,FALSE))),1)</f>
        <v>1</v>
      </c>
      <c r="P434" s="189">
        <f t="shared" si="67"/>
        <v>67700</v>
      </c>
      <c r="Q434" s="89" t="str">
        <f t="shared" si="66"/>
        <v>y</v>
      </c>
      <c r="R434" s="89" t="str">
        <f t="shared" si="66"/>
        <v>y</v>
      </c>
      <c r="S434" s="89" t="str">
        <f t="shared" si="66"/>
        <v>y</v>
      </c>
      <c r="T434" s="89" t="str">
        <f t="shared" si="66"/>
        <v>y</v>
      </c>
      <c r="U434" s="254" t="str">
        <f t="shared" si="66"/>
        <v>y</v>
      </c>
      <c r="W434" s="309" cm="1">
        <f t="array" ref="W434">_xlfn.IFS(AND(Q434="y",$D434="Local"), 1, AND(Q434="y",$D434&lt;&gt;"Local"),1.49009696454663%, Q434="","")</f>
        <v>1.49009696454663E-2</v>
      </c>
      <c r="X434" s="272" cm="1">
        <f t="array" ref="X434">_xlfn.IFS(AND(R434="y",$D434="Local"), 1, AND(R434="y",$D434&lt;&gt;"Local"),20.7557554582461%, R434="","")</f>
        <v>0.207557554582461</v>
      </c>
      <c r="Y434" s="272" cm="1">
        <f t="array" ref="Y434">_xlfn.IFS(AND(S434="y",$D434="Local"), 1, AND(S434="y",$D434&lt;&gt;"Local"),30.3499104327336%, S434="","")</f>
        <v>0.30349910432733601</v>
      </c>
      <c r="Z434" s="272" cm="1">
        <f t="array" ref="Z434">_xlfn.IFS(AND(T434="y",$D434="Local"), 1, AND(T434="y",$D434&lt;&gt;"Local"),29.0043833288201%, T434="","")</f>
        <v>0.29004383328820099</v>
      </c>
      <c r="AA434" s="272" cm="1">
        <f t="array" ref="AA434">_xlfn.IFS(AND(U434="y",$D434="Local"), 1, AND(U434="y",$D434&lt;&gt;"Local"),18.3998538156536%, U434="","")</f>
        <v>0.183998538156536</v>
      </c>
      <c r="AB434" s="68">
        <f t="shared" si="68"/>
        <v>1.0000000000000004</v>
      </c>
      <c r="AD434" s="306">
        <f t="shared" si="69"/>
        <v>1008.795644998068</v>
      </c>
      <c r="AE434" s="242">
        <f t="shared" si="70"/>
        <v>14051.646445232604</v>
      </c>
      <c r="AF434" s="242">
        <f t="shared" si="71"/>
        <v>20546.889362960639</v>
      </c>
      <c r="AG434" s="242">
        <f t="shared" si="72"/>
        <v>19635.967513611198</v>
      </c>
      <c r="AH434" s="353">
        <f t="shared" si="73"/>
        <v>12456.701033197482</v>
      </c>
    </row>
    <row r="435" spans="2:34">
      <c r="B435" s="166" t="s">
        <v>560</v>
      </c>
      <c r="C435" s="150"/>
      <c r="D435" s="150" t="s">
        <v>118</v>
      </c>
      <c r="E435" s="150" t="s">
        <v>140</v>
      </c>
      <c r="F435" s="150" t="s">
        <v>939</v>
      </c>
      <c r="G435" s="146">
        <v>56000</v>
      </c>
      <c r="H435" s="155">
        <v>6194</v>
      </c>
      <c r="I435" s="135">
        <f t="shared" si="74"/>
        <v>45</v>
      </c>
      <c r="J435" s="147">
        <v>334730</v>
      </c>
      <c r="K435" s="150"/>
      <c r="L435" s="88">
        <f t="shared" si="75"/>
        <v>0</v>
      </c>
      <c r="M435" s="160"/>
      <c r="N435" s="167">
        <v>2016</v>
      </c>
      <c r="O435" s="167">
        <f>IFERROR(('General Input Sheet'!$G$38/(VLOOKUP(N435,'General Input Sheet'!$E$38:$G$44,3,FALSE))),1)</f>
        <v>1</v>
      </c>
      <c r="P435" s="189">
        <f t="shared" si="67"/>
        <v>334730</v>
      </c>
      <c r="Q435" s="89" t="str">
        <f t="shared" si="66"/>
        <v>y</v>
      </c>
      <c r="R435" s="89" t="str">
        <f t="shared" si="66"/>
        <v>y</v>
      </c>
      <c r="S435" s="89" t="str">
        <f t="shared" si="66"/>
        <v>y</v>
      </c>
      <c r="T435" s="89" t="str">
        <f t="shared" si="66"/>
        <v>y</v>
      </c>
      <c r="U435" s="254" t="str">
        <f t="shared" si="66"/>
        <v>y</v>
      </c>
      <c r="W435" s="309" cm="1">
        <f t="array" ref="W435">_xlfn.IFS(AND(Q435="y",$D435="Local"), 1, AND(Q435="y",$D435&lt;&gt;"Local"),1.49009696454663%, Q435="","")</f>
        <v>1.49009696454663E-2</v>
      </c>
      <c r="X435" s="272" cm="1">
        <f t="array" ref="X435">_xlfn.IFS(AND(R435="y",$D435="Local"), 1, AND(R435="y",$D435&lt;&gt;"Local"),20.7557554582461%, R435="","")</f>
        <v>0.207557554582461</v>
      </c>
      <c r="Y435" s="272" cm="1">
        <f t="array" ref="Y435">_xlfn.IFS(AND(S435="y",$D435="Local"), 1, AND(S435="y",$D435&lt;&gt;"Local"),30.3499104327336%, S435="","")</f>
        <v>0.30349910432733601</v>
      </c>
      <c r="Z435" s="272" cm="1">
        <f t="array" ref="Z435">_xlfn.IFS(AND(T435="y",$D435="Local"), 1, AND(T435="y",$D435&lt;&gt;"Local"),29.0043833288201%, T435="","")</f>
        <v>0.29004383328820099</v>
      </c>
      <c r="AA435" s="272" cm="1">
        <f t="array" ref="AA435">_xlfn.IFS(AND(U435="y",$D435="Local"), 1, AND(U435="y",$D435&lt;&gt;"Local"),18.3998538156536%, U435="","")</f>
        <v>0.183998538156536</v>
      </c>
      <c r="AB435" s="68">
        <f t="shared" si="68"/>
        <v>1.0000000000000004</v>
      </c>
      <c r="AD435" s="306">
        <f t="shared" si="69"/>
        <v>4987.8015694269325</v>
      </c>
      <c r="AE435" s="242">
        <f t="shared" si="70"/>
        <v>69475.740245387147</v>
      </c>
      <c r="AF435" s="242">
        <f t="shared" si="71"/>
        <v>101590.25519148915</v>
      </c>
      <c r="AG435" s="242">
        <f t="shared" si="72"/>
        <v>97086.372316559486</v>
      </c>
      <c r="AH435" s="353">
        <f t="shared" si="73"/>
        <v>61589.830677137266</v>
      </c>
    </row>
    <row r="436" spans="2:34">
      <c r="B436" s="166" t="s">
        <v>561</v>
      </c>
      <c r="C436" s="150"/>
      <c r="D436" s="150" t="s">
        <v>117</v>
      </c>
      <c r="E436" s="150" t="s">
        <v>139</v>
      </c>
      <c r="F436" s="150" t="s">
        <v>940</v>
      </c>
      <c r="G436" s="146">
        <v>56000</v>
      </c>
      <c r="H436" s="155">
        <v>1660</v>
      </c>
      <c r="I436" s="135">
        <f t="shared" si="74"/>
        <v>45</v>
      </c>
      <c r="J436" s="147">
        <v>130700</v>
      </c>
      <c r="K436" s="150"/>
      <c r="L436" s="88">
        <f t="shared" si="75"/>
        <v>0</v>
      </c>
      <c r="M436" s="160"/>
      <c r="N436" s="167">
        <v>2016</v>
      </c>
      <c r="O436" s="167">
        <f>IFERROR(('General Input Sheet'!$G$38/(VLOOKUP(N436,'General Input Sheet'!$E$38:$G$44,3,FALSE))),1)</f>
        <v>1</v>
      </c>
      <c r="P436" s="189">
        <f t="shared" si="67"/>
        <v>130700</v>
      </c>
      <c r="Q436" s="89" t="str">
        <f t="shared" si="66"/>
        <v>y</v>
      </c>
      <c r="R436" s="89" t="str">
        <f t="shared" si="66"/>
        <v>y</v>
      </c>
      <c r="S436" s="89" t="str">
        <f t="shared" si="66"/>
        <v>y</v>
      </c>
      <c r="T436" s="89" t="str">
        <f t="shared" si="66"/>
        <v>y</v>
      </c>
      <c r="U436" s="254" t="str">
        <f t="shared" si="66"/>
        <v>y</v>
      </c>
      <c r="W436" s="309" cm="1">
        <f t="array" ref="W436">_xlfn.IFS(AND(Q436="y",$D436="Local"), 1, AND(Q436="y",$D436&lt;&gt;"Local"),1.49009696454663%, Q436="","")</f>
        <v>1.49009696454663E-2</v>
      </c>
      <c r="X436" s="272" cm="1">
        <f t="array" ref="X436">_xlfn.IFS(AND(R436="y",$D436="Local"), 1, AND(R436="y",$D436&lt;&gt;"Local"),20.7557554582461%, R436="","")</f>
        <v>0.207557554582461</v>
      </c>
      <c r="Y436" s="272" cm="1">
        <f t="array" ref="Y436">_xlfn.IFS(AND(S436="y",$D436="Local"), 1, AND(S436="y",$D436&lt;&gt;"Local"),30.3499104327336%, S436="","")</f>
        <v>0.30349910432733601</v>
      </c>
      <c r="Z436" s="272" cm="1">
        <f t="array" ref="Z436">_xlfn.IFS(AND(T436="y",$D436="Local"), 1, AND(T436="y",$D436&lt;&gt;"Local"),29.0043833288201%, T436="","")</f>
        <v>0.29004383328820099</v>
      </c>
      <c r="AA436" s="272" cm="1">
        <f t="array" ref="AA436">_xlfn.IFS(AND(U436="y",$D436="Local"), 1, AND(U436="y",$D436&lt;&gt;"Local"),18.3998538156536%, U436="","")</f>
        <v>0.183998538156536</v>
      </c>
      <c r="AB436" s="68">
        <f t="shared" si="68"/>
        <v>1.0000000000000004</v>
      </c>
      <c r="AD436" s="306">
        <f t="shared" si="69"/>
        <v>1947.5567326624446</v>
      </c>
      <c r="AE436" s="242">
        <f t="shared" si="70"/>
        <v>27127.77238392764</v>
      </c>
      <c r="AF436" s="242">
        <f t="shared" si="71"/>
        <v>39667.332935582803</v>
      </c>
      <c r="AG436" s="242">
        <f t="shared" si="72"/>
        <v>37908.729010767856</v>
      </c>
      <c r="AH436" s="353">
        <f t="shared" si="73"/>
        <v>24048.608937059245</v>
      </c>
    </row>
    <row r="437" spans="2:34">
      <c r="B437" s="166" t="s">
        <v>561</v>
      </c>
      <c r="C437" s="150"/>
      <c r="D437" s="150" t="s">
        <v>117</v>
      </c>
      <c r="E437" s="150" t="s">
        <v>139</v>
      </c>
      <c r="F437" s="150" t="s">
        <v>943</v>
      </c>
      <c r="G437" s="146">
        <v>56000</v>
      </c>
      <c r="H437" s="155">
        <v>50</v>
      </c>
      <c r="I437" s="135">
        <f t="shared" si="74"/>
        <v>45</v>
      </c>
      <c r="J437" s="147">
        <v>58250</v>
      </c>
      <c r="K437" s="150"/>
      <c r="L437" s="88">
        <f t="shared" si="75"/>
        <v>0</v>
      </c>
      <c r="M437" s="160"/>
      <c r="N437" s="167">
        <v>2016</v>
      </c>
      <c r="O437" s="167">
        <f>IFERROR(('General Input Sheet'!$G$38/(VLOOKUP(N437,'General Input Sheet'!$E$38:$G$44,3,FALSE))),1)</f>
        <v>1</v>
      </c>
      <c r="P437" s="189">
        <f t="shared" si="67"/>
        <v>58250</v>
      </c>
      <c r="Q437" s="89" t="str">
        <f t="shared" si="66"/>
        <v>y</v>
      </c>
      <c r="R437" s="89" t="str">
        <f t="shared" si="66"/>
        <v>y</v>
      </c>
      <c r="S437" s="89" t="str">
        <f t="shared" si="66"/>
        <v>y</v>
      </c>
      <c r="T437" s="89" t="str">
        <f t="shared" si="66"/>
        <v>y</v>
      </c>
      <c r="U437" s="254" t="str">
        <f t="shared" si="66"/>
        <v>y</v>
      </c>
      <c r="W437" s="309" cm="1">
        <f t="array" ref="W437">_xlfn.IFS(AND(Q437="y",$D437="Local"), 1, AND(Q437="y",$D437&lt;&gt;"Local"),1.49009696454663%, Q437="","")</f>
        <v>1.49009696454663E-2</v>
      </c>
      <c r="X437" s="272" cm="1">
        <f t="array" ref="X437">_xlfn.IFS(AND(R437="y",$D437="Local"), 1, AND(R437="y",$D437&lt;&gt;"Local"),20.7557554582461%, R437="","")</f>
        <v>0.207557554582461</v>
      </c>
      <c r="Y437" s="272" cm="1">
        <f t="array" ref="Y437">_xlfn.IFS(AND(S437="y",$D437="Local"), 1, AND(S437="y",$D437&lt;&gt;"Local"),30.3499104327336%, S437="","")</f>
        <v>0.30349910432733601</v>
      </c>
      <c r="Z437" s="272" cm="1">
        <f t="array" ref="Z437">_xlfn.IFS(AND(T437="y",$D437="Local"), 1, AND(T437="y",$D437&lt;&gt;"Local"),29.0043833288201%, T437="","")</f>
        <v>0.29004383328820099</v>
      </c>
      <c r="AA437" s="272" cm="1">
        <f t="array" ref="AA437">_xlfn.IFS(AND(U437="y",$D437="Local"), 1, AND(U437="y",$D437&lt;&gt;"Local"),18.3998538156536%, U437="","")</f>
        <v>0.183998538156536</v>
      </c>
      <c r="AB437" s="68">
        <f t="shared" si="68"/>
        <v>1.0000000000000004</v>
      </c>
      <c r="AD437" s="306">
        <f t="shared" si="69"/>
        <v>867.98148184841159</v>
      </c>
      <c r="AE437" s="242">
        <f t="shared" si="70"/>
        <v>12090.227554428349</v>
      </c>
      <c r="AF437" s="242">
        <f t="shared" si="71"/>
        <v>17678.822827067317</v>
      </c>
      <c r="AG437" s="242">
        <f t="shared" si="72"/>
        <v>16895.0532890377</v>
      </c>
      <c r="AH437" s="353">
        <f t="shared" si="73"/>
        <v>10717.914847618216</v>
      </c>
    </row>
    <row r="438" spans="2:34">
      <c r="B438" s="166" t="s">
        <v>561</v>
      </c>
      <c r="C438" s="150"/>
      <c r="D438" s="150" t="s">
        <v>117</v>
      </c>
      <c r="E438" s="150" t="s">
        <v>139</v>
      </c>
      <c r="F438" s="150" t="s">
        <v>939</v>
      </c>
      <c r="G438" s="146">
        <v>56000</v>
      </c>
      <c r="H438" s="155">
        <v>200</v>
      </c>
      <c r="I438" s="135">
        <f t="shared" si="74"/>
        <v>45</v>
      </c>
      <c r="J438" s="147">
        <v>65000</v>
      </c>
      <c r="K438" s="150"/>
      <c r="L438" s="88">
        <f t="shared" si="75"/>
        <v>0</v>
      </c>
      <c r="M438" s="160"/>
      <c r="N438" s="167">
        <v>2016</v>
      </c>
      <c r="O438" s="167">
        <f>IFERROR(('General Input Sheet'!$G$38/(VLOOKUP(N438,'General Input Sheet'!$E$38:$G$44,3,FALSE))),1)</f>
        <v>1</v>
      </c>
      <c r="P438" s="189">
        <f t="shared" si="67"/>
        <v>65000</v>
      </c>
      <c r="Q438" s="89" t="str">
        <f t="shared" ref="Q438:U442" si="76">IF(OR(Q$9=$E438,$D438="Metropolitan",$D438="District"),"y","")</f>
        <v>y</v>
      </c>
      <c r="R438" s="89" t="str">
        <f t="shared" si="76"/>
        <v>y</v>
      </c>
      <c r="S438" s="89" t="str">
        <f t="shared" si="76"/>
        <v>y</v>
      </c>
      <c r="T438" s="89" t="str">
        <f t="shared" si="76"/>
        <v>y</v>
      </c>
      <c r="U438" s="254" t="str">
        <f t="shared" si="76"/>
        <v>y</v>
      </c>
      <c r="W438" s="309" cm="1">
        <f t="array" ref="W438">_xlfn.IFS(AND(Q438="y",$D438="Local"), 1, AND(Q438="y",$D438&lt;&gt;"Local"),1.49009696454663%, Q438="","")</f>
        <v>1.49009696454663E-2</v>
      </c>
      <c r="X438" s="272" cm="1">
        <f t="array" ref="X438">_xlfn.IFS(AND(R438="y",$D438="Local"), 1, AND(R438="y",$D438&lt;&gt;"Local"),20.7557554582461%, R438="","")</f>
        <v>0.207557554582461</v>
      </c>
      <c r="Y438" s="272" cm="1">
        <f t="array" ref="Y438">_xlfn.IFS(AND(S438="y",$D438="Local"), 1, AND(S438="y",$D438&lt;&gt;"Local"),30.3499104327336%, S438="","")</f>
        <v>0.30349910432733601</v>
      </c>
      <c r="Z438" s="272" cm="1">
        <f t="array" ref="Z438">_xlfn.IFS(AND(T438="y",$D438="Local"), 1, AND(T438="y",$D438&lt;&gt;"Local"),29.0043833288201%, T438="","")</f>
        <v>0.29004383328820099</v>
      </c>
      <c r="AA438" s="272" cm="1">
        <f t="array" ref="AA438">_xlfn.IFS(AND(U438="y",$D438="Local"), 1, AND(U438="y",$D438&lt;&gt;"Local"),18.3998538156536%, U438="","")</f>
        <v>0.183998538156536</v>
      </c>
      <c r="AB438" s="68">
        <f t="shared" si="68"/>
        <v>1.0000000000000004</v>
      </c>
      <c r="AD438" s="306">
        <f t="shared" si="69"/>
        <v>968.56302695530906</v>
      </c>
      <c r="AE438" s="242">
        <f t="shared" si="70"/>
        <v>13491.24104785996</v>
      </c>
      <c r="AF438" s="242">
        <f t="shared" si="71"/>
        <v>19727.441781276833</v>
      </c>
      <c r="AG438" s="242">
        <f t="shared" si="72"/>
        <v>18852.849163733059</v>
      </c>
      <c r="AH438" s="353">
        <f t="shared" si="73"/>
        <v>11959.904980174835</v>
      </c>
    </row>
    <row r="439" spans="2:34">
      <c r="B439" s="166" t="s">
        <v>562</v>
      </c>
      <c r="C439" s="150"/>
      <c r="D439" s="150" t="s">
        <v>118</v>
      </c>
      <c r="E439" s="150" t="s">
        <v>141</v>
      </c>
      <c r="F439" s="150" t="s">
        <v>938</v>
      </c>
      <c r="G439" s="146">
        <v>56000</v>
      </c>
      <c r="H439" s="155">
        <v>2817</v>
      </c>
      <c r="I439" s="135">
        <f t="shared" si="74"/>
        <v>45</v>
      </c>
      <c r="J439" s="147">
        <v>182765</v>
      </c>
      <c r="K439" s="150"/>
      <c r="L439" s="88">
        <f t="shared" si="75"/>
        <v>0</v>
      </c>
      <c r="M439" s="160"/>
      <c r="N439" s="167">
        <v>2016</v>
      </c>
      <c r="O439" s="167">
        <f>IFERROR(('General Input Sheet'!$G$38/(VLOOKUP(N439,'General Input Sheet'!$E$38:$G$44,3,FALSE))),1)</f>
        <v>1</v>
      </c>
      <c r="P439" s="189">
        <f t="shared" si="67"/>
        <v>182765</v>
      </c>
      <c r="Q439" s="89" t="str">
        <f t="shared" si="76"/>
        <v>y</v>
      </c>
      <c r="R439" s="89" t="str">
        <f t="shared" si="76"/>
        <v>y</v>
      </c>
      <c r="S439" s="89" t="str">
        <f t="shared" si="76"/>
        <v>y</v>
      </c>
      <c r="T439" s="89" t="str">
        <f t="shared" si="76"/>
        <v>y</v>
      </c>
      <c r="U439" s="254" t="str">
        <f t="shared" si="76"/>
        <v>y</v>
      </c>
      <c r="W439" s="309" cm="1">
        <f t="array" ref="W439">_xlfn.IFS(AND(Q439="y",$D439="Local"), 1, AND(Q439="y",$D439&lt;&gt;"Local"),1.49009696454663%, Q439="","")</f>
        <v>1.49009696454663E-2</v>
      </c>
      <c r="X439" s="272" cm="1">
        <f t="array" ref="X439">_xlfn.IFS(AND(R439="y",$D439="Local"), 1, AND(R439="y",$D439&lt;&gt;"Local"),20.7557554582461%, R439="","")</f>
        <v>0.207557554582461</v>
      </c>
      <c r="Y439" s="272" cm="1">
        <f t="array" ref="Y439">_xlfn.IFS(AND(S439="y",$D439="Local"), 1, AND(S439="y",$D439&lt;&gt;"Local"),30.3499104327336%, S439="","")</f>
        <v>0.30349910432733601</v>
      </c>
      <c r="Z439" s="272" cm="1">
        <f t="array" ref="Z439">_xlfn.IFS(AND(T439="y",$D439="Local"), 1, AND(T439="y",$D439&lt;&gt;"Local"),29.0043833288201%, T439="","")</f>
        <v>0.29004383328820099</v>
      </c>
      <c r="AA439" s="272" cm="1">
        <f t="array" ref="AA439">_xlfn.IFS(AND(U439="y",$D439="Local"), 1, AND(U439="y",$D439&lt;&gt;"Local"),18.3998538156536%, U439="","")</f>
        <v>0.183998538156536</v>
      </c>
      <c r="AB439" s="68">
        <f t="shared" si="68"/>
        <v>1.0000000000000004</v>
      </c>
      <c r="AD439" s="306">
        <f t="shared" si="69"/>
        <v>2723.3757172536471</v>
      </c>
      <c r="AE439" s="242">
        <f t="shared" si="70"/>
        <v>37934.256463263468</v>
      </c>
      <c r="AF439" s="242">
        <f t="shared" si="71"/>
        <v>55469.013802385547</v>
      </c>
      <c r="AG439" s="242">
        <f t="shared" si="72"/>
        <v>53009.861190918033</v>
      </c>
      <c r="AH439" s="353">
        <f t="shared" si="73"/>
        <v>33628.492826179288</v>
      </c>
    </row>
    <row r="440" spans="2:34">
      <c r="B440" s="166" t="s">
        <v>562</v>
      </c>
      <c r="C440" s="150"/>
      <c r="D440" s="150" t="s">
        <v>116</v>
      </c>
      <c r="E440" s="150" t="s">
        <v>141</v>
      </c>
      <c r="F440" s="150" t="s">
        <v>938</v>
      </c>
      <c r="G440" s="146">
        <v>56000</v>
      </c>
      <c r="H440" s="155">
        <v>1533</v>
      </c>
      <c r="I440" s="135">
        <f t="shared" si="74"/>
        <v>45</v>
      </c>
      <c r="J440" s="147">
        <v>124985</v>
      </c>
      <c r="K440" s="150"/>
      <c r="L440" s="88">
        <f t="shared" si="75"/>
        <v>0</v>
      </c>
      <c r="M440" s="160"/>
      <c r="N440" s="167">
        <v>2016</v>
      </c>
      <c r="O440" s="167">
        <f>IFERROR(('General Input Sheet'!$G$38/(VLOOKUP(N440,'General Input Sheet'!$E$38:$G$44,3,FALSE))),1)</f>
        <v>1</v>
      </c>
      <c r="P440" s="189">
        <f t="shared" si="67"/>
        <v>124985</v>
      </c>
      <c r="Q440" s="89" t="str">
        <f t="shared" si="76"/>
        <v/>
      </c>
      <c r="R440" s="89" t="str">
        <f t="shared" si="76"/>
        <v/>
      </c>
      <c r="S440" s="89" t="str">
        <f t="shared" si="76"/>
        <v>y</v>
      </c>
      <c r="T440" s="89" t="str">
        <f t="shared" si="76"/>
        <v/>
      </c>
      <c r="U440" s="254" t="str">
        <f t="shared" si="76"/>
        <v/>
      </c>
      <c r="W440" s="309" t="str" cm="1">
        <f t="array" ref="W440">_xlfn.IFS(AND(Q440="y",$D440="Local"), 1, AND(Q440="y",$D440&lt;&gt;"Local"),1.49009696454663%, Q440="","")</f>
        <v/>
      </c>
      <c r="X440" s="272" t="str" cm="1">
        <f t="array" ref="X440">_xlfn.IFS(AND(R440="y",$D440="Local"), 1, AND(R440="y",$D440&lt;&gt;"Local"),20.7557554582461%, R440="","")</f>
        <v/>
      </c>
      <c r="Y440" s="272" cm="1">
        <f t="array" ref="Y440">_xlfn.IFS(AND(S440="y",$D440="Local"), 1, AND(S440="y",$D440&lt;&gt;"Local"),30.3499104327336%, S440="","")</f>
        <v>1</v>
      </c>
      <c r="Z440" s="272" t="str" cm="1">
        <f t="array" ref="Z440">_xlfn.IFS(AND(T440="y",$D440="Local"), 1, AND(T440="y",$D440&lt;&gt;"Local"),29.0043833288201%, T440="","")</f>
        <v/>
      </c>
      <c r="AA440" s="272" t="str" cm="1">
        <f t="array" ref="AA440">_xlfn.IFS(AND(U440="y",$D440="Local"), 1, AND(U440="y",$D440&lt;&gt;"Local"),18.3998538156536%, U440="","")</f>
        <v/>
      </c>
      <c r="AB440" s="68">
        <f t="shared" si="68"/>
        <v>1</v>
      </c>
      <c r="AD440" s="306" t="str">
        <f t="shared" si="69"/>
        <v/>
      </c>
      <c r="AE440" s="242" t="str">
        <f t="shared" si="70"/>
        <v/>
      </c>
      <c r="AF440" s="242">
        <f t="shared" si="71"/>
        <v>124985</v>
      </c>
      <c r="AG440" s="242" t="str">
        <f t="shared" si="72"/>
        <v/>
      </c>
      <c r="AH440" s="353" t="str">
        <f t="shared" si="73"/>
        <v/>
      </c>
    </row>
    <row r="441" spans="2:34">
      <c r="B441" s="166" t="s">
        <v>563</v>
      </c>
      <c r="C441" s="150"/>
      <c r="D441" s="150" t="s">
        <v>117</v>
      </c>
      <c r="E441" s="150" t="s">
        <v>141</v>
      </c>
      <c r="F441" s="150" t="s">
        <v>942</v>
      </c>
      <c r="G441" s="146">
        <v>56000</v>
      </c>
      <c r="H441" s="155">
        <v>13174</v>
      </c>
      <c r="I441" s="135">
        <f t="shared" si="74"/>
        <v>45</v>
      </c>
      <c r="J441" s="147">
        <v>648830</v>
      </c>
      <c r="K441" s="150"/>
      <c r="L441" s="88">
        <f t="shared" si="75"/>
        <v>0</v>
      </c>
      <c r="M441" s="160"/>
      <c r="N441" s="167">
        <v>2016</v>
      </c>
      <c r="O441" s="167">
        <f>IFERROR(('General Input Sheet'!$G$38/(VLOOKUP(N441,'General Input Sheet'!$E$38:$G$44,3,FALSE))),1)</f>
        <v>1</v>
      </c>
      <c r="P441" s="189">
        <f t="shared" si="67"/>
        <v>648830</v>
      </c>
      <c r="Q441" s="89" t="str">
        <f t="shared" si="76"/>
        <v>y</v>
      </c>
      <c r="R441" s="89" t="str">
        <f t="shared" si="76"/>
        <v>y</v>
      </c>
      <c r="S441" s="89" t="str">
        <f t="shared" si="76"/>
        <v>y</v>
      </c>
      <c r="T441" s="89" t="str">
        <f t="shared" si="76"/>
        <v>y</v>
      </c>
      <c r="U441" s="254" t="str">
        <f t="shared" si="76"/>
        <v>y</v>
      </c>
      <c r="W441" s="309" cm="1">
        <f t="array" ref="W441">_xlfn.IFS(AND(Q441="y",$D441="Local"), 1, AND(Q441="y",$D441&lt;&gt;"Local"),1.49009696454663%, Q441="","")</f>
        <v>1.49009696454663E-2</v>
      </c>
      <c r="X441" s="272" cm="1">
        <f t="array" ref="X441">_xlfn.IFS(AND(R441="y",$D441="Local"), 1, AND(R441="y",$D441&lt;&gt;"Local"),20.7557554582461%, R441="","")</f>
        <v>0.207557554582461</v>
      </c>
      <c r="Y441" s="272" cm="1">
        <f t="array" ref="Y441">_xlfn.IFS(AND(S441="y",$D441="Local"), 1, AND(S441="y",$D441&lt;&gt;"Local"),30.3499104327336%, S441="","")</f>
        <v>0.30349910432733601</v>
      </c>
      <c r="Z441" s="272" cm="1">
        <f t="array" ref="Z441">_xlfn.IFS(AND(T441="y",$D441="Local"), 1, AND(T441="y",$D441&lt;&gt;"Local"),29.0043833288201%, T441="","")</f>
        <v>0.29004383328820099</v>
      </c>
      <c r="AA441" s="272" cm="1">
        <f t="array" ref="AA441">_xlfn.IFS(AND(U441="y",$D441="Local"), 1, AND(U441="y",$D441&lt;&gt;"Local"),18.3998538156536%, U441="","")</f>
        <v>0.183998538156536</v>
      </c>
      <c r="AB441" s="68">
        <f t="shared" si="68"/>
        <v>1.0000000000000004</v>
      </c>
      <c r="AD441" s="306">
        <f t="shared" si="69"/>
        <v>9668.1961350678957</v>
      </c>
      <c r="AE441" s="242">
        <f t="shared" si="70"/>
        <v>134669.56813973811</v>
      </c>
      <c r="AF441" s="242">
        <f t="shared" si="71"/>
        <v>196919.32386070536</v>
      </c>
      <c r="AG441" s="242">
        <f t="shared" si="72"/>
        <v>188189.14035238337</v>
      </c>
      <c r="AH441" s="353">
        <f t="shared" si="73"/>
        <v>119383.7715121052</v>
      </c>
    </row>
    <row r="442" spans="2:34" ht="14" thickBot="1">
      <c r="B442" s="295" t="s">
        <v>563</v>
      </c>
      <c r="C442" s="296"/>
      <c r="D442" s="296" t="s">
        <v>117</v>
      </c>
      <c r="E442" s="296" t="s">
        <v>141</v>
      </c>
      <c r="F442" s="296" t="s">
        <v>943</v>
      </c>
      <c r="G442" s="298">
        <v>56000</v>
      </c>
      <c r="H442" s="299">
        <v>4391</v>
      </c>
      <c r="I442" s="297">
        <f t="shared" si="74"/>
        <v>45</v>
      </c>
      <c r="J442" s="298">
        <v>253595</v>
      </c>
      <c r="K442" s="296"/>
      <c r="L442" s="300">
        <f t="shared" si="75"/>
        <v>0</v>
      </c>
      <c r="M442" s="301"/>
      <c r="N442" s="295">
        <v>2016</v>
      </c>
      <c r="O442" s="295">
        <f>IFERROR(('General Input Sheet'!$G$38/(VLOOKUP(N442,'General Input Sheet'!$E$38:$G$44,3,FALSE))),1)</f>
        <v>1</v>
      </c>
      <c r="P442" s="302">
        <f t="shared" si="67"/>
        <v>253595</v>
      </c>
      <c r="Q442" s="170" t="str">
        <f t="shared" si="76"/>
        <v>y</v>
      </c>
      <c r="R442" s="170" t="str">
        <f t="shared" si="76"/>
        <v>y</v>
      </c>
      <c r="S442" s="170" t="str">
        <f t="shared" si="76"/>
        <v>y</v>
      </c>
      <c r="T442" s="170" t="str">
        <f t="shared" si="76"/>
        <v>y</v>
      </c>
      <c r="U442" s="313" t="str">
        <f t="shared" si="76"/>
        <v>y</v>
      </c>
      <c r="V442" s="311"/>
      <c r="W442" s="310" cm="1">
        <f t="array" ref="W442">_xlfn.IFS(AND(Q442="y",$D442="Local"), 1, AND(Q442="y",$D442&lt;&gt;"Local"),1.49009696454663%, Q442="","")</f>
        <v>1.49009696454663E-2</v>
      </c>
      <c r="X442" s="303" cm="1">
        <f t="array" ref="X442">_xlfn.IFS(AND(R442="y",$D442="Local"), 1, AND(R442="y",$D442&lt;&gt;"Local"),20.7557554582461%, R442="","")</f>
        <v>0.207557554582461</v>
      </c>
      <c r="Y442" s="303" cm="1">
        <f t="array" ref="Y442">_xlfn.IFS(AND(S442="y",$D442="Local"), 1, AND(S442="y",$D442&lt;&gt;"Local"),30.3499104327336%, S442="","")</f>
        <v>0.30349910432733601</v>
      </c>
      <c r="Z442" s="303" cm="1">
        <f t="array" ref="Z442">_xlfn.IFS(AND(T442="y",$D442="Local"), 1, AND(T442="y",$D442&lt;&gt;"Local"),29.0043833288201%, T442="","")</f>
        <v>0.29004383328820099</v>
      </c>
      <c r="AA442" s="303" cm="1">
        <f t="array" ref="AA442">_xlfn.IFS(AND(U442="y",$D442="Local"), 1, AND(U442="y",$D442&lt;&gt;"Local"),18.3998538156536%, U442="","")</f>
        <v>0.183998538156536</v>
      </c>
      <c r="AB442" s="304">
        <f t="shared" si="68"/>
        <v>1.0000000000000004</v>
      </c>
      <c r="AD442" s="307">
        <f t="shared" si="69"/>
        <v>3778.8113972420247</v>
      </c>
      <c r="AE442" s="305">
        <f t="shared" si="70"/>
        <v>52635.558054339177</v>
      </c>
      <c r="AF442" s="305">
        <f t="shared" si="71"/>
        <v>76965.855361890746</v>
      </c>
      <c r="AG442" s="305">
        <f t="shared" si="72"/>
        <v>73553.665902721303</v>
      </c>
      <c r="AH442" s="354">
        <f t="shared" si="73"/>
        <v>46661.109283806727</v>
      </c>
    </row>
    <row r="443" spans="2:34" s="51" customFormat="1" ht="14" thickBot="1">
      <c r="H443" s="71"/>
      <c r="J443" s="314">
        <f>SUM(J12:J442)</f>
        <v>28302405</v>
      </c>
      <c r="M443" s="314">
        <f>SUM(M12:M442)</f>
        <v>80798630.290000066</v>
      </c>
      <c r="P443" s="314">
        <f>SUM(P13:P442)</f>
        <v>109101035.29000001</v>
      </c>
      <c r="V443" s="311"/>
      <c r="W443" s="92"/>
      <c r="X443" s="92"/>
      <c r="Y443" s="92"/>
      <c r="Z443" s="92"/>
      <c r="AA443" s="273"/>
      <c r="AB443" s="66"/>
      <c r="AD443" s="71"/>
      <c r="AE443" s="71"/>
      <c r="AF443" s="71"/>
      <c r="AG443" s="71"/>
    </row>
    <row r="444" spans="2:34" s="51" customFormat="1">
      <c r="H444" s="71"/>
      <c r="K444" s="71"/>
      <c r="M444" s="86"/>
      <c r="P444" s="86"/>
      <c r="V444" s="311"/>
      <c r="W444" s="92"/>
      <c r="X444" s="92"/>
      <c r="Y444" s="92"/>
      <c r="Z444" s="92"/>
      <c r="AA444" s="273"/>
      <c r="AB444" s="66"/>
      <c r="AD444" s="71"/>
      <c r="AE444" s="71"/>
      <c r="AF444" s="71"/>
      <c r="AG444" s="71"/>
    </row>
    <row r="445" spans="2:34" s="51" customFormat="1">
      <c r="H445" s="71"/>
      <c r="K445" s="71"/>
      <c r="M445" s="86"/>
      <c r="P445" s="86"/>
      <c r="W445" s="92"/>
      <c r="X445" s="92"/>
      <c r="Y445" s="92"/>
      <c r="Z445" s="92"/>
      <c r="AA445" s="273"/>
      <c r="AB445" s="66"/>
      <c r="AD445" s="71"/>
      <c r="AE445" s="71"/>
      <c r="AF445" s="71"/>
      <c r="AG445" s="71"/>
    </row>
    <row r="446" spans="2:34" s="51" customFormat="1">
      <c r="H446" s="71"/>
      <c r="K446" s="71"/>
      <c r="M446" s="86"/>
      <c r="P446" s="86"/>
      <c r="W446" s="92"/>
      <c r="X446" s="92"/>
      <c r="Y446" s="92"/>
      <c r="Z446" s="92"/>
      <c r="AA446" s="273"/>
      <c r="AB446" s="66"/>
      <c r="AD446" s="71"/>
      <c r="AE446" s="71"/>
      <c r="AF446" s="71"/>
      <c r="AG446" s="71"/>
    </row>
    <row r="447" spans="2:34" s="51" customFormat="1">
      <c r="H447" s="71"/>
      <c r="K447" s="71"/>
      <c r="M447" s="86"/>
      <c r="P447" s="86"/>
      <c r="W447" s="92"/>
      <c r="X447" s="92"/>
      <c r="Y447" s="92"/>
      <c r="Z447" s="92"/>
      <c r="AA447" s="273"/>
      <c r="AB447" s="66"/>
      <c r="AD447" s="71"/>
      <c r="AE447" s="71"/>
      <c r="AF447" s="71"/>
      <c r="AG447" s="71"/>
    </row>
    <row r="448" spans="2:34" s="51" customFormat="1">
      <c r="H448" s="71"/>
      <c r="K448" s="71"/>
      <c r="M448" s="86"/>
      <c r="P448" s="86"/>
      <c r="W448" s="92"/>
      <c r="X448" s="92"/>
      <c r="Y448" s="92"/>
      <c r="Z448" s="92"/>
      <c r="AA448" s="273"/>
      <c r="AB448" s="66"/>
      <c r="AD448" s="71"/>
      <c r="AE448" s="71"/>
      <c r="AF448" s="71"/>
      <c r="AG448" s="71"/>
    </row>
    <row r="449" spans="8:33" s="51" customFormat="1">
      <c r="H449" s="71"/>
      <c r="K449" s="71"/>
      <c r="M449" s="86"/>
      <c r="P449" s="86"/>
      <c r="W449" s="92"/>
      <c r="X449" s="92"/>
      <c r="Y449" s="92"/>
      <c r="Z449" s="92"/>
      <c r="AA449" s="273"/>
      <c r="AB449" s="66"/>
      <c r="AD449" s="71"/>
      <c r="AE449" s="71"/>
      <c r="AF449" s="71"/>
      <c r="AG449" s="71"/>
    </row>
    <row r="450" spans="8:33" s="51" customFormat="1">
      <c r="H450" s="71"/>
      <c r="K450" s="71"/>
      <c r="M450" s="86"/>
      <c r="P450" s="86"/>
      <c r="W450" s="92"/>
      <c r="X450" s="92"/>
      <c r="Y450" s="92"/>
      <c r="Z450" s="92"/>
      <c r="AA450" s="273"/>
      <c r="AB450" s="66"/>
      <c r="AD450" s="71"/>
      <c r="AE450" s="71"/>
      <c r="AF450" s="71"/>
      <c r="AG450" s="71"/>
    </row>
    <row r="451" spans="8:33" s="51" customFormat="1">
      <c r="H451" s="71"/>
      <c r="K451" s="71"/>
      <c r="M451" s="86"/>
      <c r="P451" s="86"/>
      <c r="W451" s="92"/>
      <c r="X451" s="92"/>
      <c r="Y451" s="92"/>
      <c r="Z451" s="92"/>
      <c r="AA451" s="273"/>
      <c r="AB451" s="66"/>
      <c r="AD451" s="71"/>
      <c r="AE451" s="71"/>
      <c r="AF451" s="71"/>
      <c r="AG451" s="71"/>
    </row>
    <row r="452" spans="8:33" s="51" customFormat="1">
      <c r="H452" s="71"/>
      <c r="K452" s="71"/>
      <c r="M452" s="86"/>
      <c r="P452" s="86"/>
      <c r="W452" s="92"/>
      <c r="X452" s="92"/>
      <c r="Y452" s="92"/>
      <c r="Z452" s="92"/>
      <c r="AA452" s="273"/>
      <c r="AB452" s="66"/>
      <c r="AD452" s="71"/>
      <c r="AE452" s="71"/>
      <c r="AF452" s="71"/>
      <c r="AG452" s="71"/>
    </row>
    <row r="453" spans="8:33" s="51" customFormat="1">
      <c r="H453" s="71"/>
      <c r="K453" s="71"/>
      <c r="M453" s="86"/>
      <c r="P453" s="86"/>
      <c r="W453" s="92"/>
      <c r="X453" s="92"/>
      <c r="Y453" s="92"/>
      <c r="Z453" s="92"/>
      <c r="AA453" s="273"/>
      <c r="AB453" s="66"/>
      <c r="AD453" s="71"/>
      <c r="AE453" s="71"/>
      <c r="AF453" s="71"/>
      <c r="AG453" s="71"/>
    </row>
    <row r="454" spans="8:33" s="51" customFormat="1">
      <c r="H454" s="71"/>
      <c r="K454" s="71"/>
      <c r="M454" s="86"/>
      <c r="P454" s="86"/>
      <c r="W454" s="92"/>
      <c r="X454" s="92"/>
      <c r="Y454" s="92"/>
      <c r="Z454" s="92"/>
      <c r="AA454" s="273"/>
      <c r="AB454" s="66"/>
      <c r="AD454" s="71"/>
      <c r="AE454" s="71"/>
      <c r="AF454" s="71"/>
      <c r="AG454" s="71"/>
    </row>
    <row r="455" spans="8:33" s="51" customFormat="1">
      <c r="H455" s="71"/>
      <c r="K455" s="71"/>
      <c r="M455" s="86"/>
      <c r="P455" s="86"/>
      <c r="W455" s="92"/>
      <c r="X455" s="92"/>
      <c r="Y455" s="92"/>
      <c r="Z455" s="92"/>
      <c r="AA455" s="273"/>
      <c r="AB455" s="66"/>
      <c r="AD455" s="71"/>
      <c r="AE455" s="71"/>
      <c r="AF455" s="71"/>
      <c r="AG455" s="71"/>
    </row>
    <row r="456" spans="8:33" s="51" customFormat="1">
      <c r="H456" s="71"/>
      <c r="K456" s="71"/>
      <c r="M456" s="86"/>
      <c r="P456" s="86"/>
      <c r="W456" s="92"/>
      <c r="X456" s="92"/>
      <c r="Y456" s="92"/>
      <c r="Z456" s="92"/>
      <c r="AA456" s="273"/>
      <c r="AB456" s="66"/>
      <c r="AD456" s="71"/>
      <c r="AE456" s="71"/>
      <c r="AF456" s="71"/>
      <c r="AG456" s="71"/>
    </row>
    <row r="457" spans="8:33" s="51" customFormat="1">
      <c r="H457" s="71"/>
      <c r="K457" s="71"/>
      <c r="M457" s="86"/>
      <c r="P457" s="86"/>
      <c r="W457" s="92"/>
      <c r="X457" s="92"/>
      <c r="Y457" s="92"/>
      <c r="Z457" s="92"/>
      <c r="AA457" s="273"/>
      <c r="AB457" s="66"/>
      <c r="AD457" s="71"/>
      <c r="AE457" s="71"/>
      <c r="AF457" s="71"/>
      <c r="AG457" s="71"/>
    </row>
    <row r="458" spans="8:33" s="51" customFormat="1">
      <c r="H458" s="71"/>
      <c r="K458" s="71"/>
      <c r="M458" s="86"/>
      <c r="P458" s="86"/>
      <c r="W458" s="92"/>
      <c r="X458" s="92"/>
      <c r="Y458" s="92"/>
      <c r="Z458" s="92"/>
      <c r="AA458" s="273"/>
      <c r="AB458" s="66"/>
      <c r="AD458" s="71"/>
      <c r="AE458" s="71"/>
      <c r="AF458" s="71"/>
      <c r="AG458" s="71"/>
    </row>
    <row r="459" spans="8:33" s="51" customFormat="1">
      <c r="H459" s="71"/>
      <c r="K459" s="71"/>
      <c r="M459" s="86"/>
      <c r="P459" s="86"/>
      <c r="W459" s="92"/>
      <c r="X459" s="92"/>
      <c r="Y459" s="92"/>
      <c r="Z459" s="92"/>
      <c r="AA459" s="273"/>
      <c r="AB459" s="66"/>
      <c r="AD459" s="71"/>
      <c r="AE459" s="71"/>
      <c r="AF459" s="71"/>
      <c r="AG459" s="71"/>
    </row>
    <row r="460" spans="8:33" s="51" customFormat="1">
      <c r="H460" s="71"/>
      <c r="K460" s="71"/>
      <c r="M460" s="86"/>
      <c r="P460" s="86"/>
      <c r="W460" s="92"/>
      <c r="X460" s="92"/>
      <c r="Y460" s="92"/>
      <c r="Z460" s="92"/>
      <c r="AA460" s="273"/>
      <c r="AB460" s="66"/>
      <c r="AD460" s="71"/>
      <c r="AE460" s="71"/>
      <c r="AF460" s="71"/>
      <c r="AG460" s="71"/>
    </row>
    <row r="461" spans="8:33" s="51" customFormat="1">
      <c r="H461" s="71"/>
      <c r="K461" s="71"/>
      <c r="M461" s="86"/>
      <c r="P461" s="86"/>
      <c r="W461" s="92"/>
      <c r="X461" s="92"/>
      <c r="Y461" s="92"/>
      <c r="Z461" s="92"/>
      <c r="AA461" s="273"/>
      <c r="AB461" s="66"/>
      <c r="AD461" s="71"/>
      <c r="AE461" s="71"/>
      <c r="AF461" s="71"/>
      <c r="AG461" s="71"/>
    </row>
    <row r="462" spans="8:33" s="51" customFormat="1">
      <c r="H462" s="71"/>
      <c r="K462" s="71"/>
      <c r="M462" s="86"/>
      <c r="P462" s="86"/>
      <c r="W462" s="92"/>
      <c r="X462" s="92"/>
      <c r="Y462" s="92"/>
      <c r="Z462" s="92"/>
      <c r="AA462" s="273"/>
      <c r="AB462" s="66"/>
      <c r="AD462" s="71"/>
      <c r="AE462" s="71"/>
      <c r="AF462" s="71"/>
      <c r="AG462" s="71"/>
    </row>
    <row r="463" spans="8:33" s="51" customFormat="1">
      <c r="H463" s="71"/>
      <c r="K463" s="71"/>
      <c r="M463" s="86"/>
      <c r="P463" s="86"/>
      <c r="W463" s="92"/>
      <c r="X463" s="92"/>
      <c r="Y463" s="92"/>
      <c r="Z463" s="92"/>
      <c r="AA463" s="273"/>
      <c r="AB463" s="66"/>
      <c r="AD463" s="71"/>
      <c r="AE463" s="71"/>
      <c r="AF463" s="71"/>
      <c r="AG463" s="71"/>
    </row>
    <row r="464" spans="8:33" s="51" customFormat="1">
      <c r="H464" s="71"/>
      <c r="K464" s="71"/>
      <c r="M464" s="86"/>
      <c r="P464" s="86"/>
      <c r="W464" s="92"/>
      <c r="X464" s="92"/>
      <c r="Y464" s="92"/>
      <c r="Z464" s="92"/>
      <c r="AA464" s="273"/>
      <c r="AB464" s="66"/>
      <c r="AD464" s="71"/>
      <c r="AE464" s="71"/>
      <c r="AF464" s="71"/>
      <c r="AG464" s="71"/>
    </row>
    <row r="465" spans="8:33" s="51" customFormat="1">
      <c r="H465" s="71"/>
      <c r="K465" s="71"/>
      <c r="M465" s="86"/>
      <c r="P465" s="86"/>
      <c r="W465" s="92"/>
      <c r="X465" s="92"/>
      <c r="Y465" s="92"/>
      <c r="Z465" s="92"/>
      <c r="AA465" s="273"/>
      <c r="AB465" s="66"/>
      <c r="AD465" s="71"/>
      <c r="AE465" s="71"/>
      <c r="AF465" s="71"/>
      <c r="AG465" s="71"/>
    </row>
    <row r="466" spans="8:33" s="51" customFormat="1">
      <c r="H466" s="71"/>
      <c r="K466" s="71"/>
      <c r="M466" s="86"/>
      <c r="P466" s="86"/>
      <c r="W466" s="92"/>
      <c r="X466" s="92"/>
      <c r="Y466" s="92"/>
      <c r="Z466" s="92"/>
      <c r="AA466" s="273"/>
      <c r="AB466" s="66"/>
      <c r="AD466" s="71"/>
      <c r="AE466" s="71"/>
      <c r="AF466" s="71"/>
      <c r="AG466" s="71"/>
    </row>
    <row r="467" spans="8:33" s="51" customFormat="1">
      <c r="H467" s="71"/>
      <c r="K467" s="71"/>
      <c r="M467" s="86"/>
      <c r="P467" s="86"/>
      <c r="W467" s="92"/>
      <c r="X467" s="92"/>
      <c r="Y467" s="92"/>
      <c r="Z467" s="92"/>
      <c r="AA467" s="273"/>
      <c r="AB467" s="66"/>
      <c r="AD467" s="71"/>
      <c r="AE467" s="71"/>
      <c r="AF467" s="71"/>
      <c r="AG467" s="71"/>
    </row>
    <row r="468" spans="8:33" s="51" customFormat="1">
      <c r="H468" s="71"/>
      <c r="K468" s="71"/>
      <c r="M468" s="86"/>
      <c r="P468" s="86"/>
      <c r="W468" s="92"/>
      <c r="X468" s="92"/>
      <c r="Y468" s="92"/>
      <c r="Z468" s="92"/>
      <c r="AA468" s="273"/>
      <c r="AB468" s="66"/>
      <c r="AD468" s="71"/>
      <c r="AE468" s="71"/>
      <c r="AF468" s="71"/>
      <c r="AG468" s="71"/>
    </row>
    <row r="469" spans="8:33" s="51" customFormat="1">
      <c r="H469" s="71"/>
      <c r="K469" s="71"/>
      <c r="M469" s="86"/>
      <c r="P469" s="86"/>
      <c r="W469" s="92"/>
      <c r="X469" s="92"/>
      <c r="Y469" s="92"/>
      <c r="Z469" s="92"/>
      <c r="AA469" s="273"/>
      <c r="AB469" s="66"/>
      <c r="AD469" s="71"/>
      <c r="AE469" s="71"/>
      <c r="AF469" s="71"/>
      <c r="AG469" s="71"/>
    </row>
    <row r="470" spans="8:33" s="51" customFormat="1">
      <c r="H470" s="71"/>
      <c r="K470" s="71"/>
      <c r="M470" s="86"/>
      <c r="P470" s="86"/>
      <c r="W470" s="92"/>
      <c r="X470" s="92"/>
      <c r="Y470" s="92"/>
      <c r="Z470" s="92"/>
      <c r="AA470" s="273"/>
      <c r="AB470" s="66"/>
      <c r="AD470" s="71"/>
      <c r="AE470" s="71"/>
      <c r="AF470" s="71"/>
      <c r="AG470" s="71"/>
    </row>
    <row r="471" spans="8:33" s="51" customFormat="1">
      <c r="H471" s="71"/>
      <c r="K471" s="71"/>
      <c r="M471" s="86"/>
      <c r="P471" s="86"/>
      <c r="W471" s="92"/>
      <c r="X471" s="92"/>
      <c r="Y471" s="92"/>
      <c r="Z471" s="92"/>
      <c r="AA471" s="273"/>
      <c r="AB471" s="66"/>
      <c r="AD471" s="71"/>
      <c r="AE471" s="71"/>
      <c r="AF471" s="71"/>
      <c r="AG471" s="71"/>
    </row>
    <row r="472" spans="8:33" s="51" customFormat="1">
      <c r="H472" s="71"/>
      <c r="K472" s="71"/>
      <c r="M472" s="86"/>
      <c r="P472" s="86"/>
      <c r="W472" s="92"/>
      <c r="X472" s="92"/>
      <c r="Y472" s="92"/>
      <c r="Z472" s="92"/>
      <c r="AA472" s="273"/>
      <c r="AB472" s="66"/>
      <c r="AD472" s="71"/>
      <c r="AE472" s="71"/>
      <c r="AF472" s="71"/>
      <c r="AG472" s="71"/>
    </row>
    <row r="473" spans="8:33" s="51" customFormat="1">
      <c r="H473" s="71"/>
      <c r="K473" s="71"/>
      <c r="M473" s="86"/>
      <c r="P473" s="86"/>
      <c r="W473" s="92"/>
      <c r="X473" s="92"/>
      <c r="Y473" s="92"/>
      <c r="Z473" s="92"/>
      <c r="AA473" s="273"/>
      <c r="AB473" s="66"/>
      <c r="AD473" s="71"/>
      <c r="AE473" s="71"/>
      <c r="AF473" s="71"/>
      <c r="AG473" s="71"/>
    </row>
    <row r="474" spans="8:33" s="51" customFormat="1">
      <c r="H474" s="71"/>
      <c r="K474" s="71"/>
      <c r="M474" s="86"/>
      <c r="P474" s="86"/>
      <c r="W474" s="92"/>
      <c r="X474" s="92"/>
      <c r="Y474" s="92"/>
      <c r="Z474" s="92"/>
      <c r="AA474" s="273"/>
      <c r="AB474" s="66"/>
      <c r="AD474" s="71"/>
      <c r="AE474" s="71"/>
      <c r="AF474" s="71"/>
      <c r="AG474" s="71"/>
    </row>
    <row r="475" spans="8:33" s="51" customFormat="1">
      <c r="H475" s="71"/>
      <c r="K475" s="71"/>
      <c r="M475" s="86"/>
      <c r="P475" s="86"/>
      <c r="W475" s="92"/>
      <c r="X475" s="92"/>
      <c r="Y475" s="92"/>
      <c r="Z475" s="92"/>
      <c r="AA475" s="273"/>
      <c r="AB475" s="66"/>
      <c r="AD475" s="71"/>
      <c r="AE475" s="71"/>
      <c r="AF475" s="71"/>
      <c r="AG475" s="71"/>
    </row>
    <row r="476" spans="8:33" s="51" customFormat="1">
      <c r="H476" s="71"/>
      <c r="K476" s="71"/>
      <c r="M476" s="86"/>
      <c r="P476" s="86"/>
      <c r="W476" s="92"/>
      <c r="X476" s="92"/>
      <c r="Y476" s="92"/>
      <c r="Z476" s="92"/>
      <c r="AA476" s="273"/>
      <c r="AB476" s="66"/>
      <c r="AD476" s="71"/>
      <c r="AE476" s="71"/>
      <c r="AF476" s="71"/>
      <c r="AG476" s="71"/>
    </row>
    <row r="477" spans="8:33" s="51" customFormat="1">
      <c r="H477" s="71"/>
      <c r="K477" s="71"/>
      <c r="M477" s="86"/>
      <c r="P477" s="86"/>
      <c r="W477" s="92"/>
      <c r="X477" s="92"/>
      <c r="Y477" s="92"/>
      <c r="Z477" s="92"/>
      <c r="AA477" s="273"/>
      <c r="AB477" s="66"/>
      <c r="AD477" s="71"/>
      <c r="AE477" s="71"/>
      <c r="AF477" s="71"/>
      <c r="AG477" s="71"/>
    </row>
    <row r="478" spans="8:33" s="51" customFormat="1">
      <c r="H478" s="71"/>
      <c r="K478" s="71"/>
      <c r="M478" s="86"/>
      <c r="P478" s="86"/>
      <c r="W478" s="92"/>
      <c r="X478" s="92"/>
      <c r="Y478" s="92"/>
      <c r="Z478" s="92"/>
      <c r="AA478" s="273"/>
      <c r="AB478" s="66"/>
      <c r="AD478" s="71"/>
      <c r="AE478" s="71"/>
      <c r="AF478" s="71"/>
      <c r="AG478" s="71"/>
    </row>
    <row r="479" spans="8:33" s="51" customFormat="1">
      <c r="H479" s="71"/>
      <c r="K479" s="71"/>
      <c r="M479" s="86"/>
      <c r="P479" s="86"/>
      <c r="W479" s="92"/>
      <c r="X479" s="92"/>
      <c r="Y479" s="92"/>
      <c r="Z479" s="92"/>
      <c r="AA479" s="273"/>
      <c r="AB479" s="66"/>
      <c r="AD479" s="71"/>
      <c r="AE479" s="71"/>
      <c r="AF479" s="71"/>
      <c r="AG479" s="71"/>
    </row>
    <row r="480" spans="8:33" s="51" customFormat="1">
      <c r="H480" s="71"/>
      <c r="K480" s="71"/>
      <c r="M480" s="86"/>
      <c r="P480" s="86"/>
      <c r="W480" s="92"/>
      <c r="X480" s="92"/>
      <c r="Y480" s="92"/>
      <c r="Z480" s="92"/>
      <c r="AA480" s="273"/>
      <c r="AB480" s="66"/>
      <c r="AD480" s="71"/>
      <c r="AE480" s="71"/>
      <c r="AF480" s="71"/>
      <c r="AG480" s="71"/>
    </row>
    <row r="481" spans="8:33" s="51" customFormat="1">
      <c r="H481" s="71"/>
      <c r="K481" s="71"/>
      <c r="M481" s="86"/>
      <c r="P481" s="86"/>
      <c r="W481" s="92"/>
      <c r="X481" s="92"/>
      <c r="Y481" s="92"/>
      <c r="Z481" s="92"/>
      <c r="AA481" s="273"/>
      <c r="AB481" s="66"/>
      <c r="AD481" s="71"/>
      <c r="AE481" s="71"/>
      <c r="AF481" s="71"/>
      <c r="AG481" s="71"/>
    </row>
    <row r="482" spans="8:33" s="51" customFormat="1">
      <c r="H482" s="71"/>
      <c r="K482" s="71"/>
      <c r="M482" s="86"/>
      <c r="P482" s="86"/>
      <c r="W482" s="92"/>
      <c r="X482" s="92"/>
      <c r="Y482" s="92"/>
      <c r="Z482" s="92"/>
      <c r="AA482" s="273"/>
      <c r="AB482" s="66"/>
      <c r="AD482" s="71"/>
      <c r="AE482" s="71"/>
      <c r="AF482" s="71"/>
      <c r="AG482" s="71"/>
    </row>
    <row r="483" spans="8:33" s="51" customFormat="1">
      <c r="H483" s="71"/>
      <c r="K483" s="71"/>
      <c r="M483" s="86"/>
      <c r="P483" s="86"/>
      <c r="W483" s="92"/>
      <c r="X483" s="92"/>
      <c r="Y483" s="92"/>
      <c r="Z483" s="92"/>
      <c r="AA483" s="273"/>
      <c r="AB483" s="66"/>
      <c r="AD483" s="71"/>
      <c r="AE483" s="71"/>
      <c r="AF483" s="71"/>
      <c r="AG483" s="71"/>
    </row>
    <row r="484" spans="8:33" s="51" customFormat="1">
      <c r="H484" s="71"/>
      <c r="K484" s="71"/>
      <c r="M484" s="86"/>
      <c r="P484" s="86"/>
      <c r="W484" s="92"/>
      <c r="X484" s="92"/>
      <c r="Y484" s="92"/>
      <c r="Z484" s="92"/>
      <c r="AA484" s="273"/>
      <c r="AB484" s="66"/>
      <c r="AD484" s="71"/>
      <c r="AE484" s="71"/>
      <c r="AF484" s="71"/>
      <c r="AG484" s="71"/>
    </row>
    <row r="485" spans="8:33" s="51" customFormat="1">
      <c r="H485" s="71"/>
      <c r="K485" s="71"/>
      <c r="M485" s="86"/>
      <c r="P485" s="86"/>
      <c r="W485" s="92"/>
      <c r="X485" s="92"/>
      <c r="Y485" s="92"/>
      <c r="Z485" s="92"/>
      <c r="AA485" s="273"/>
      <c r="AB485" s="66"/>
      <c r="AD485" s="71"/>
      <c r="AE485" s="71"/>
      <c r="AF485" s="71"/>
      <c r="AG485" s="71"/>
    </row>
    <row r="486" spans="8:33" s="51" customFormat="1">
      <c r="H486" s="71"/>
      <c r="K486" s="71"/>
      <c r="M486" s="86"/>
      <c r="P486" s="86"/>
      <c r="W486" s="92"/>
      <c r="X486" s="92"/>
      <c r="Y486" s="92"/>
      <c r="Z486" s="92"/>
      <c r="AA486" s="273"/>
      <c r="AB486" s="66"/>
      <c r="AD486" s="71"/>
      <c r="AE486" s="71"/>
      <c r="AF486" s="71"/>
      <c r="AG486" s="71"/>
    </row>
    <row r="487" spans="8:33" s="51" customFormat="1">
      <c r="H487" s="71"/>
      <c r="K487" s="71"/>
      <c r="M487" s="86"/>
      <c r="P487" s="86"/>
      <c r="W487" s="92"/>
      <c r="X487" s="92"/>
      <c r="Y487" s="92"/>
      <c r="Z487" s="92"/>
      <c r="AA487" s="273"/>
      <c r="AB487" s="66"/>
      <c r="AD487" s="71"/>
      <c r="AE487" s="71"/>
      <c r="AF487" s="71"/>
      <c r="AG487" s="71"/>
    </row>
    <row r="488" spans="8:33" s="51" customFormat="1">
      <c r="H488" s="71"/>
      <c r="K488" s="71"/>
      <c r="M488" s="86"/>
      <c r="P488" s="86"/>
      <c r="W488" s="92"/>
      <c r="X488" s="92"/>
      <c r="Y488" s="92"/>
      <c r="Z488" s="92"/>
      <c r="AA488" s="273"/>
      <c r="AB488" s="66"/>
      <c r="AD488" s="71"/>
      <c r="AE488" s="71"/>
      <c r="AF488" s="71"/>
      <c r="AG488" s="71"/>
    </row>
    <row r="489" spans="8:33" s="51" customFormat="1">
      <c r="H489" s="71"/>
      <c r="K489" s="71"/>
      <c r="M489" s="86"/>
      <c r="P489" s="86"/>
      <c r="W489" s="92"/>
      <c r="X489" s="92"/>
      <c r="Y489" s="92"/>
      <c r="Z489" s="92"/>
      <c r="AA489" s="273"/>
      <c r="AB489" s="66"/>
      <c r="AD489" s="71"/>
      <c r="AE489" s="71"/>
      <c r="AF489" s="71"/>
      <c r="AG489" s="71"/>
    </row>
    <row r="490" spans="8:33" s="51" customFormat="1">
      <c r="H490" s="71"/>
      <c r="K490" s="71"/>
      <c r="M490" s="86"/>
      <c r="P490" s="86"/>
      <c r="W490" s="92"/>
      <c r="X490" s="92"/>
      <c r="Y490" s="92"/>
      <c r="Z490" s="92"/>
      <c r="AA490" s="273"/>
      <c r="AB490" s="66"/>
      <c r="AD490" s="71"/>
      <c r="AE490" s="71"/>
      <c r="AF490" s="71"/>
      <c r="AG490" s="71"/>
    </row>
    <row r="491" spans="8:33" s="51" customFormat="1">
      <c r="H491" s="71"/>
      <c r="K491" s="71"/>
      <c r="M491" s="86"/>
      <c r="P491" s="86"/>
      <c r="W491" s="92"/>
      <c r="X491" s="92"/>
      <c r="Y491" s="92"/>
      <c r="Z491" s="92"/>
      <c r="AA491" s="273"/>
      <c r="AB491" s="66"/>
      <c r="AD491" s="71"/>
      <c r="AE491" s="71"/>
      <c r="AF491" s="71"/>
      <c r="AG491" s="71"/>
    </row>
    <row r="492" spans="8:33" s="51" customFormat="1">
      <c r="H492" s="71"/>
      <c r="K492" s="71"/>
      <c r="M492" s="86"/>
      <c r="P492" s="86"/>
      <c r="W492" s="92"/>
      <c r="X492" s="92"/>
      <c r="Y492" s="92"/>
      <c r="Z492" s="92"/>
      <c r="AA492" s="273"/>
      <c r="AB492" s="66"/>
      <c r="AD492" s="71"/>
      <c r="AE492" s="71"/>
      <c r="AF492" s="71"/>
      <c r="AG492" s="71"/>
    </row>
    <row r="493" spans="8:33" s="51" customFormat="1">
      <c r="H493" s="71"/>
      <c r="K493" s="71"/>
      <c r="M493" s="86"/>
      <c r="P493" s="86"/>
      <c r="W493" s="92"/>
      <c r="X493" s="92"/>
      <c r="Y493" s="92"/>
      <c r="Z493" s="92"/>
      <c r="AA493" s="273"/>
      <c r="AB493" s="66"/>
      <c r="AD493" s="71"/>
      <c r="AE493" s="71"/>
      <c r="AF493" s="71"/>
      <c r="AG493" s="71"/>
    </row>
    <row r="494" spans="8:33" s="51" customFormat="1">
      <c r="H494" s="71"/>
      <c r="K494" s="71"/>
      <c r="M494" s="86"/>
      <c r="P494" s="86"/>
      <c r="W494" s="92"/>
      <c r="X494" s="92"/>
      <c r="Y494" s="92"/>
      <c r="Z494" s="92"/>
      <c r="AA494" s="273"/>
      <c r="AB494" s="66"/>
      <c r="AD494" s="71"/>
      <c r="AE494" s="71"/>
      <c r="AF494" s="71"/>
      <c r="AG494" s="71"/>
    </row>
    <row r="495" spans="8:33" s="51" customFormat="1">
      <c r="H495" s="71"/>
      <c r="K495" s="71"/>
      <c r="M495" s="86"/>
      <c r="P495" s="86"/>
      <c r="W495" s="92"/>
      <c r="X495" s="92"/>
      <c r="Y495" s="92"/>
      <c r="Z495" s="92"/>
      <c r="AA495" s="273"/>
      <c r="AB495" s="66"/>
      <c r="AD495" s="71"/>
      <c r="AE495" s="71"/>
      <c r="AF495" s="71"/>
      <c r="AG495" s="71"/>
    </row>
    <row r="496" spans="8:33" s="51" customFormat="1">
      <c r="H496" s="71"/>
      <c r="K496" s="71"/>
      <c r="M496" s="86"/>
      <c r="P496" s="86"/>
      <c r="W496" s="92"/>
      <c r="X496" s="92"/>
      <c r="Y496" s="92"/>
      <c r="Z496" s="92"/>
      <c r="AA496" s="273"/>
      <c r="AB496" s="66"/>
      <c r="AD496" s="71"/>
      <c r="AE496" s="71"/>
      <c r="AF496" s="71"/>
      <c r="AG496" s="71"/>
    </row>
    <row r="497" spans="8:33" s="51" customFormat="1">
      <c r="H497" s="71"/>
      <c r="K497" s="71"/>
      <c r="M497" s="86"/>
      <c r="P497" s="86"/>
      <c r="W497" s="92"/>
      <c r="X497" s="92"/>
      <c r="Y497" s="92"/>
      <c r="Z497" s="92"/>
      <c r="AA497" s="273"/>
      <c r="AB497" s="66"/>
      <c r="AD497" s="71"/>
      <c r="AE497" s="71"/>
      <c r="AF497" s="71"/>
      <c r="AG497" s="71"/>
    </row>
    <row r="498" spans="8:33" s="51" customFormat="1">
      <c r="H498" s="71"/>
      <c r="K498" s="71"/>
      <c r="M498" s="86"/>
      <c r="P498" s="86"/>
      <c r="W498" s="92"/>
      <c r="X498" s="92"/>
      <c r="Y498" s="92"/>
      <c r="Z498" s="92"/>
      <c r="AA498" s="273"/>
      <c r="AB498" s="66"/>
      <c r="AD498" s="71"/>
      <c r="AE498" s="71"/>
      <c r="AF498" s="71"/>
      <c r="AG498" s="71"/>
    </row>
    <row r="499" spans="8:33" s="51" customFormat="1">
      <c r="H499" s="71"/>
      <c r="K499" s="71"/>
      <c r="M499" s="86"/>
      <c r="P499" s="86"/>
      <c r="W499" s="92"/>
      <c r="X499" s="92"/>
      <c r="Y499" s="92"/>
      <c r="Z499" s="92"/>
      <c r="AA499" s="273"/>
      <c r="AB499" s="66"/>
      <c r="AD499" s="71"/>
      <c r="AE499" s="71"/>
      <c r="AF499" s="71"/>
      <c r="AG499" s="71"/>
    </row>
    <row r="500" spans="8:33" s="51" customFormat="1">
      <c r="H500" s="71"/>
      <c r="K500" s="71"/>
      <c r="M500" s="86"/>
      <c r="P500" s="86"/>
      <c r="W500" s="92"/>
      <c r="X500" s="92"/>
      <c r="Y500" s="92"/>
      <c r="Z500" s="92"/>
      <c r="AA500" s="273"/>
      <c r="AB500" s="66"/>
      <c r="AD500" s="71"/>
      <c r="AE500" s="71"/>
      <c r="AF500" s="71"/>
      <c r="AG500" s="71"/>
    </row>
    <row r="501" spans="8:33" s="51" customFormat="1">
      <c r="H501" s="71"/>
      <c r="K501" s="71"/>
      <c r="M501" s="86"/>
      <c r="P501" s="86"/>
      <c r="W501" s="92"/>
      <c r="X501" s="92"/>
      <c r="Y501" s="92"/>
      <c r="Z501" s="92"/>
      <c r="AA501" s="273"/>
      <c r="AB501" s="66"/>
      <c r="AD501" s="71"/>
      <c r="AE501" s="71"/>
      <c r="AF501" s="71"/>
      <c r="AG501" s="71"/>
    </row>
    <row r="502" spans="8:33" s="51" customFormat="1">
      <c r="H502" s="71"/>
      <c r="K502" s="71"/>
      <c r="M502" s="86"/>
      <c r="P502" s="86"/>
      <c r="W502" s="92"/>
      <c r="X502" s="92"/>
      <c r="Y502" s="92"/>
      <c r="Z502" s="92"/>
      <c r="AA502" s="273"/>
      <c r="AB502" s="66"/>
      <c r="AD502" s="71"/>
      <c r="AE502" s="71"/>
      <c r="AF502" s="71"/>
      <c r="AG502" s="71"/>
    </row>
    <row r="503" spans="8:33" s="51" customFormat="1">
      <c r="H503" s="71"/>
      <c r="K503" s="71"/>
      <c r="M503" s="86"/>
      <c r="P503" s="86"/>
      <c r="W503" s="92"/>
      <c r="X503" s="92"/>
      <c r="Y503" s="92"/>
      <c r="Z503" s="92"/>
      <c r="AA503" s="273"/>
      <c r="AB503" s="66"/>
      <c r="AD503" s="71"/>
      <c r="AE503" s="71"/>
      <c r="AF503" s="71"/>
      <c r="AG503" s="71"/>
    </row>
    <row r="504" spans="8:33" s="51" customFormat="1">
      <c r="H504" s="71"/>
      <c r="K504" s="71"/>
      <c r="M504" s="86"/>
      <c r="P504" s="86"/>
      <c r="W504" s="92"/>
      <c r="X504" s="92"/>
      <c r="Y504" s="92"/>
      <c r="Z504" s="92"/>
      <c r="AA504" s="273"/>
      <c r="AB504" s="66"/>
      <c r="AD504" s="71"/>
      <c r="AE504" s="71"/>
      <c r="AF504" s="71"/>
      <c r="AG504" s="71"/>
    </row>
    <row r="505" spans="8:33" s="51" customFormat="1">
      <c r="H505" s="71"/>
      <c r="K505" s="71"/>
      <c r="M505" s="86"/>
      <c r="P505" s="86"/>
      <c r="W505" s="92"/>
      <c r="X505" s="92"/>
      <c r="Y505" s="92"/>
      <c r="Z505" s="92"/>
      <c r="AA505" s="273"/>
      <c r="AB505" s="66"/>
      <c r="AD505" s="71"/>
      <c r="AE505" s="71"/>
      <c r="AF505" s="71"/>
      <c r="AG505" s="71"/>
    </row>
    <row r="506" spans="8:33" s="51" customFormat="1">
      <c r="H506" s="71"/>
      <c r="K506" s="71"/>
      <c r="M506" s="86"/>
      <c r="P506" s="86"/>
      <c r="W506" s="92"/>
      <c r="X506" s="92"/>
      <c r="Y506" s="92"/>
      <c r="Z506" s="92"/>
      <c r="AA506" s="273"/>
      <c r="AB506" s="66"/>
      <c r="AD506" s="71"/>
      <c r="AE506" s="71"/>
      <c r="AF506" s="71"/>
      <c r="AG506" s="71"/>
    </row>
    <row r="507" spans="8:33" s="51" customFormat="1">
      <c r="H507" s="71"/>
      <c r="K507" s="71"/>
      <c r="M507" s="86"/>
      <c r="P507" s="86"/>
      <c r="W507" s="92"/>
      <c r="X507" s="92"/>
      <c r="Y507" s="92"/>
      <c r="Z507" s="92"/>
      <c r="AA507" s="273"/>
      <c r="AB507" s="66"/>
      <c r="AD507" s="71"/>
      <c r="AE507" s="71"/>
      <c r="AF507" s="71"/>
      <c r="AG507" s="71"/>
    </row>
    <row r="508" spans="8:33" s="51" customFormat="1">
      <c r="H508" s="71"/>
      <c r="K508" s="71"/>
      <c r="M508" s="86"/>
      <c r="P508" s="86"/>
      <c r="W508" s="92"/>
      <c r="X508" s="92"/>
      <c r="Y508" s="92"/>
      <c r="Z508" s="92"/>
      <c r="AA508" s="273"/>
      <c r="AB508" s="66"/>
      <c r="AD508" s="71"/>
      <c r="AE508" s="71"/>
      <c r="AF508" s="71"/>
      <c r="AG508" s="71"/>
    </row>
    <row r="509" spans="8:33" s="51" customFormat="1">
      <c r="H509" s="71"/>
      <c r="K509" s="71"/>
      <c r="M509" s="86"/>
      <c r="P509" s="86"/>
      <c r="W509" s="92"/>
      <c r="X509" s="92"/>
      <c r="Y509" s="92"/>
      <c r="Z509" s="92"/>
      <c r="AA509" s="273"/>
      <c r="AB509" s="66"/>
      <c r="AD509" s="71"/>
      <c r="AE509" s="71"/>
      <c r="AF509" s="71"/>
      <c r="AG509" s="71"/>
    </row>
    <row r="510" spans="8:33" s="51" customFormat="1">
      <c r="H510" s="71"/>
      <c r="K510" s="71"/>
      <c r="M510" s="86"/>
      <c r="P510" s="86"/>
      <c r="W510" s="92"/>
      <c r="X510" s="92"/>
      <c r="Y510" s="92"/>
      <c r="Z510" s="92"/>
      <c r="AA510" s="273"/>
      <c r="AB510" s="66"/>
      <c r="AD510" s="71"/>
      <c r="AE510" s="71"/>
      <c r="AF510" s="71"/>
      <c r="AG510" s="71"/>
    </row>
    <row r="511" spans="8:33" s="51" customFormat="1">
      <c r="H511" s="71"/>
      <c r="K511" s="71"/>
      <c r="M511" s="86"/>
      <c r="P511" s="86"/>
      <c r="W511" s="92"/>
      <c r="X511" s="92"/>
      <c r="Y511" s="92"/>
      <c r="Z511" s="92"/>
      <c r="AA511" s="273"/>
      <c r="AB511" s="66"/>
      <c r="AD511" s="71"/>
      <c r="AE511" s="71"/>
      <c r="AF511" s="71"/>
      <c r="AG511" s="71"/>
    </row>
    <row r="512" spans="8:33" s="51" customFormat="1">
      <c r="H512" s="71"/>
      <c r="K512" s="71"/>
      <c r="M512" s="86"/>
      <c r="P512" s="86"/>
      <c r="W512" s="92"/>
      <c r="X512" s="92"/>
      <c r="Y512" s="92"/>
      <c r="Z512" s="92"/>
      <c r="AA512" s="273"/>
      <c r="AB512" s="66"/>
      <c r="AD512" s="71"/>
      <c r="AE512" s="71"/>
      <c r="AF512" s="71"/>
      <c r="AG512" s="71"/>
    </row>
    <row r="513" spans="8:33" s="51" customFormat="1">
      <c r="H513" s="71"/>
      <c r="K513" s="71"/>
      <c r="M513" s="86"/>
      <c r="P513" s="86"/>
      <c r="W513" s="92"/>
      <c r="X513" s="92"/>
      <c r="Y513" s="92"/>
      <c r="Z513" s="92"/>
      <c r="AA513" s="273"/>
      <c r="AB513" s="66"/>
      <c r="AD513" s="71"/>
      <c r="AE513" s="71"/>
      <c r="AF513" s="71"/>
      <c r="AG513" s="71"/>
    </row>
    <row r="514" spans="8:33" s="51" customFormat="1">
      <c r="H514" s="71"/>
      <c r="K514" s="71"/>
      <c r="M514" s="86"/>
      <c r="P514" s="86"/>
      <c r="W514" s="92"/>
      <c r="X514" s="92"/>
      <c r="Y514" s="92"/>
      <c r="Z514" s="92"/>
      <c r="AA514" s="273"/>
      <c r="AB514" s="66"/>
      <c r="AD514" s="71"/>
      <c r="AE514" s="71"/>
      <c r="AF514" s="71"/>
      <c r="AG514" s="71"/>
    </row>
    <row r="515" spans="8:33" s="51" customFormat="1">
      <c r="H515" s="71"/>
      <c r="K515" s="71"/>
      <c r="M515" s="86"/>
      <c r="P515" s="86"/>
      <c r="W515" s="92"/>
      <c r="X515" s="92"/>
      <c r="Y515" s="92"/>
      <c r="Z515" s="92"/>
      <c r="AA515" s="273"/>
      <c r="AB515" s="66"/>
      <c r="AD515" s="71"/>
      <c r="AE515" s="71"/>
      <c r="AF515" s="71"/>
      <c r="AG515" s="71"/>
    </row>
    <row r="516" spans="8:33" s="51" customFormat="1">
      <c r="H516" s="71"/>
      <c r="K516" s="71"/>
      <c r="M516" s="86"/>
      <c r="P516" s="86"/>
      <c r="W516" s="92"/>
      <c r="X516" s="92"/>
      <c r="Y516" s="92"/>
      <c r="Z516" s="92"/>
      <c r="AA516" s="273"/>
      <c r="AB516" s="66"/>
      <c r="AD516" s="71"/>
      <c r="AE516" s="71"/>
      <c r="AF516" s="71"/>
      <c r="AG516" s="71"/>
    </row>
    <row r="517" spans="8:33" s="51" customFormat="1">
      <c r="H517" s="71"/>
      <c r="K517" s="71"/>
      <c r="M517" s="86"/>
      <c r="P517" s="86"/>
      <c r="W517" s="92"/>
      <c r="X517" s="92"/>
      <c r="Y517" s="92"/>
      <c r="Z517" s="92"/>
      <c r="AA517" s="273"/>
      <c r="AB517" s="66"/>
      <c r="AD517" s="71"/>
      <c r="AE517" s="71"/>
      <c r="AF517" s="71"/>
      <c r="AG517" s="71"/>
    </row>
    <row r="518" spans="8:33" s="51" customFormat="1">
      <c r="H518" s="71"/>
      <c r="K518" s="71"/>
      <c r="M518" s="86"/>
      <c r="P518" s="86"/>
      <c r="W518" s="92"/>
      <c r="X518" s="92"/>
      <c r="Y518" s="92"/>
      <c r="Z518" s="92"/>
      <c r="AA518" s="273"/>
      <c r="AB518" s="66"/>
      <c r="AD518" s="71"/>
      <c r="AE518" s="71"/>
      <c r="AF518" s="71"/>
      <c r="AG518" s="71"/>
    </row>
    <row r="519" spans="8:33" s="51" customFormat="1">
      <c r="H519" s="71"/>
      <c r="K519" s="71"/>
      <c r="M519" s="86"/>
      <c r="P519" s="86"/>
      <c r="W519" s="92"/>
      <c r="X519" s="92"/>
      <c r="Y519" s="92"/>
      <c r="Z519" s="92"/>
      <c r="AA519" s="273"/>
      <c r="AB519" s="66"/>
      <c r="AD519" s="71"/>
      <c r="AE519" s="71"/>
      <c r="AF519" s="71"/>
      <c r="AG519" s="71"/>
    </row>
    <row r="520" spans="8:33" s="51" customFormat="1">
      <c r="H520" s="71"/>
      <c r="K520" s="71"/>
      <c r="M520" s="86"/>
      <c r="P520" s="86"/>
      <c r="W520" s="92"/>
      <c r="X520" s="92"/>
      <c r="Y520" s="92"/>
      <c r="Z520" s="92"/>
      <c r="AA520" s="273"/>
      <c r="AB520" s="66"/>
      <c r="AD520" s="71"/>
      <c r="AE520" s="71"/>
      <c r="AF520" s="71"/>
      <c r="AG520" s="71"/>
    </row>
    <row r="521" spans="8:33" s="51" customFormat="1">
      <c r="H521" s="71"/>
      <c r="K521" s="71"/>
      <c r="M521" s="86"/>
      <c r="P521" s="86"/>
      <c r="W521" s="92"/>
      <c r="X521" s="92"/>
      <c r="Y521" s="92"/>
      <c r="Z521" s="92"/>
      <c r="AA521" s="273"/>
      <c r="AB521" s="66"/>
      <c r="AD521" s="71"/>
      <c r="AE521" s="71"/>
      <c r="AF521" s="71"/>
      <c r="AG521" s="71"/>
    </row>
    <row r="522" spans="8:33" s="51" customFormat="1">
      <c r="H522" s="71"/>
      <c r="K522" s="71"/>
      <c r="M522" s="86"/>
      <c r="P522" s="86"/>
      <c r="W522" s="92"/>
      <c r="X522" s="92"/>
      <c r="Y522" s="92"/>
      <c r="Z522" s="92"/>
      <c r="AA522" s="273"/>
      <c r="AB522" s="66"/>
      <c r="AD522" s="71"/>
      <c r="AE522" s="71"/>
      <c r="AF522" s="71"/>
      <c r="AG522" s="71"/>
    </row>
    <row r="523" spans="8:33" s="51" customFormat="1">
      <c r="H523" s="71"/>
      <c r="K523" s="71"/>
      <c r="M523" s="86"/>
      <c r="P523" s="86"/>
      <c r="W523" s="92"/>
      <c r="X523" s="92"/>
      <c r="Y523" s="92"/>
      <c r="Z523" s="92"/>
      <c r="AA523" s="273"/>
      <c r="AB523" s="66"/>
      <c r="AD523" s="71"/>
      <c r="AE523" s="71"/>
      <c r="AF523" s="71"/>
      <c r="AG523" s="71"/>
    </row>
    <row r="524" spans="8:33" s="51" customFormat="1">
      <c r="H524" s="71"/>
      <c r="K524" s="71"/>
      <c r="M524" s="86"/>
      <c r="P524" s="86"/>
      <c r="W524" s="92"/>
      <c r="X524" s="92"/>
      <c r="Y524" s="92"/>
      <c r="Z524" s="92"/>
      <c r="AA524" s="273"/>
      <c r="AB524" s="66"/>
      <c r="AD524" s="71"/>
      <c r="AE524" s="71"/>
      <c r="AF524" s="71"/>
      <c r="AG524" s="71"/>
    </row>
    <row r="525" spans="8:33" s="51" customFormat="1">
      <c r="H525" s="71"/>
      <c r="K525" s="71"/>
      <c r="M525" s="86"/>
      <c r="P525" s="86"/>
      <c r="W525" s="92"/>
      <c r="X525" s="92"/>
      <c r="Y525" s="92"/>
      <c r="Z525" s="92"/>
      <c r="AA525" s="273"/>
      <c r="AB525" s="66"/>
      <c r="AD525" s="71"/>
      <c r="AE525" s="71"/>
      <c r="AF525" s="71"/>
      <c r="AG525" s="71"/>
    </row>
    <row r="526" spans="8:33" s="51" customFormat="1">
      <c r="H526" s="71"/>
      <c r="K526" s="71"/>
      <c r="M526" s="86"/>
      <c r="P526" s="86"/>
      <c r="W526" s="92"/>
      <c r="X526" s="92"/>
      <c r="Y526" s="92"/>
      <c r="Z526" s="92"/>
      <c r="AA526" s="273"/>
      <c r="AB526" s="66"/>
      <c r="AD526" s="71"/>
      <c r="AE526" s="71"/>
      <c r="AF526" s="71"/>
      <c r="AG526" s="71"/>
    </row>
    <row r="527" spans="8:33" s="51" customFormat="1">
      <c r="H527" s="71"/>
      <c r="K527" s="71"/>
      <c r="M527" s="86"/>
      <c r="P527" s="86"/>
      <c r="W527" s="92"/>
      <c r="X527" s="92"/>
      <c r="Y527" s="92"/>
      <c r="Z527" s="92"/>
      <c r="AA527" s="273"/>
      <c r="AB527" s="66"/>
      <c r="AD527" s="71"/>
      <c r="AE527" s="71"/>
      <c r="AF527" s="71"/>
      <c r="AG527" s="71"/>
    </row>
    <row r="528" spans="8:33" s="51" customFormat="1">
      <c r="H528" s="71"/>
      <c r="K528" s="71"/>
      <c r="M528" s="86"/>
      <c r="P528" s="86"/>
      <c r="W528" s="92"/>
      <c r="X528" s="92"/>
      <c r="Y528" s="92"/>
      <c r="Z528" s="92"/>
      <c r="AA528" s="273"/>
      <c r="AB528" s="66"/>
      <c r="AD528" s="71"/>
      <c r="AE528" s="71"/>
      <c r="AF528" s="71"/>
      <c r="AG528" s="71"/>
    </row>
    <row r="529" spans="8:33" s="51" customFormat="1">
      <c r="H529" s="71"/>
      <c r="K529" s="71"/>
      <c r="M529" s="86"/>
      <c r="P529" s="86"/>
      <c r="W529" s="92"/>
      <c r="X529" s="92"/>
      <c r="Y529" s="92"/>
      <c r="Z529" s="92"/>
      <c r="AA529" s="273"/>
      <c r="AB529" s="66"/>
      <c r="AD529" s="71"/>
      <c r="AE529" s="71"/>
      <c r="AF529" s="71"/>
      <c r="AG529" s="71"/>
    </row>
    <row r="530" spans="8:33" s="51" customFormat="1">
      <c r="H530" s="71"/>
      <c r="K530" s="71"/>
      <c r="M530" s="86"/>
      <c r="P530" s="86"/>
      <c r="W530" s="92"/>
      <c r="X530" s="92"/>
      <c r="Y530" s="92"/>
      <c r="Z530" s="92"/>
      <c r="AA530" s="273"/>
      <c r="AB530" s="66"/>
      <c r="AD530" s="71"/>
      <c r="AE530" s="71"/>
      <c r="AF530" s="71"/>
      <c r="AG530" s="71"/>
    </row>
    <row r="531" spans="8:33" s="51" customFormat="1">
      <c r="H531" s="71"/>
      <c r="K531" s="71"/>
      <c r="M531" s="86"/>
      <c r="P531" s="86"/>
      <c r="W531" s="92"/>
      <c r="X531" s="92"/>
      <c r="Y531" s="92"/>
      <c r="Z531" s="92"/>
      <c r="AA531" s="273"/>
      <c r="AB531" s="66"/>
      <c r="AD531" s="71"/>
      <c r="AE531" s="71"/>
      <c r="AF531" s="71"/>
      <c r="AG531" s="71"/>
    </row>
    <row r="532" spans="8:33" s="51" customFormat="1">
      <c r="H532" s="71"/>
      <c r="K532" s="71"/>
      <c r="M532" s="86"/>
      <c r="P532" s="86"/>
      <c r="W532" s="92"/>
      <c r="X532" s="92"/>
      <c r="Y532" s="92"/>
      <c r="Z532" s="92"/>
      <c r="AA532" s="273"/>
      <c r="AB532" s="66"/>
      <c r="AD532" s="71"/>
      <c r="AE532" s="71"/>
      <c r="AF532" s="71"/>
      <c r="AG532" s="71"/>
    </row>
    <row r="533" spans="8:33" s="51" customFormat="1">
      <c r="H533" s="71"/>
      <c r="K533" s="71"/>
      <c r="M533" s="86"/>
      <c r="P533" s="86"/>
      <c r="W533" s="92"/>
      <c r="X533" s="92"/>
      <c r="Y533" s="92"/>
      <c r="Z533" s="92"/>
      <c r="AA533" s="273"/>
      <c r="AB533" s="66"/>
      <c r="AD533" s="71"/>
      <c r="AE533" s="71"/>
      <c r="AF533" s="71"/>
      <c r="AG533" s="71"/>
    </row>
    <row r="534" spans="8:33" s="51" customFormat="1">
      <c r="H534" s="71"/>
      <c r="K534" s="71"/>
      <c r="M534" s="86"/>
      <c r="P534" s="86"/>
      <c r="W534" s="92"/>
      <c r="X534" s="92"/>
      <c r="Y534" s="92"/>
      <c r="Z534" s="92"/>
      <c r="AA534" s="273"/>
      <c r="AB534" s="66"/>
      <c r="AD534" s="71"/>
      <c r="AE534" s="71"/>
      <c r="AF534" s="71"/>
      <c r="AG534" s="71"/>
    </row>
    <row r="535" spans="8:33" s="51" customFormat="1">
      <c r="H535" s="71"/>
      <c r="K535" s="71"/>
      <c r="M535" s="86"/>
      <c r="P535" s="86"/>
      <c r="W535" s="92"/>
      <c r="X535" s="92"/>
      <c r="Y535" s="92"/>
      <c r="Z535" s="92"/>
      <c r="AA535" s="273"/>
      <c r="AB535" s="66"/>
      <c r="AD535" s="71"/>
      <c r="AE535" s="71"/>
      <c r="AF535" s="71"/>
      <c r="AG535" s="71"/>
    </row>
    <row r="536" spans="8:33" s="51" customFormat="1">
      <c r="H536" s="71"/>
      <c r="K536" s="71"/>
      <c r="M536" s="86"/>
      <c r="P536" s="86"/>
      <c r="W536" s="92"/>
      <c r="X536" s="92"/>
      <c r="Y536" s="92"/>
      <c r="Z536" s="92"/>
      <c r="AA536" s="273"/>
      <c r="AB536" s="66"/>
      <c r="AD536" s="71"/>
      <c r="AE536" s="71"/>
      <c r="AF536" s="71"/>
      <c r="AG536" s="71"/>
    </row>
    <row r="537" spans="8:33" s="51" customFormat="1">
      <c r="H537" s="71"/>
      <c r="K537" s="71"/>
      <c r="M537" s="86"/>
      <c r="P537" s="86"/>
      <c r="W537" s="92"/>
      <c r="X537" s="92"/>
      <c r="Y537" s="92"/>
      <c r="Z537" s="92"/>
      <c r="AA537" s="273"/>
      <c r="AB537" s="66"/>
      <c r="AD537" s="71"/>
      <c r="AE537" s="71"/>
      <c r="AF537" s="71"/>
      <c r="AG537" s="71"/>
    </row>
    <row r="538" spans="8:33" s="51" customFormat="1">
      <c r="H538" s="71"/>
      <c r="K538" s="71"/>
      <c r="M538" s="86"/>
      <c r="P538" s="86"/>
      <c r="W538" s="92"/>
      <c r="X538" s="92"/>
      <c r="Y538" s="92"/>
      <c r="Z538" s="92"/>
      <c r="AA538" s="273"/>
      <c r="AB538" s="66"/>
      <c r="AD538" s="71"/>
      <c r="AE538" s="71"/>
      <c r="AF538" s="71"/>
      <c r="AG538" s="71"/>
    </row>
    <row r="539" spans="8:33" s="51" customFormat="1">
      <c r="H539" s="71"/>
      <c r="K539" s="71"/>
      <c r="M539" s="86"/>
      <c r="P539" s="86"/>
      <c r="W539" s="92"/>
      <c r="X539" s="92"/>
      <c r="Y539" s="92"/>
      <c r="Z539" s="92"/>
      <c r="AA539" s="273"/>
      <c r="AB539" s="66"/>
      <c r="AD539" s="71"/>
      <c r="AE539" s="71"/>
      <c r="AF539" s="71"/>
      <c r="AG539" s="71"/>
    </row>
    <row r="540" spans="8:33" s="51" customFormat="1">
      <c r="H540" s="71"/>
      <c r="K540" s="71"/>
      <c r="M540" s="86"/>
      <c r="P540" s="86"/>
      <c r="W540" s="92"/>
      <c r="X540" s="92"/>
      <c r="Y540" s="92"/>
      <c r="Z540" s="92"/>
      <c r="AA540" s="273"/>
      <c r="AB540" s="66"/>
      <c r="AD540" s="71"/>
      <c r="AE540" s="71"/>
      <c r="AF540" s="71"/>
      <c r="AG540" s="71"/>
    </row>
    <row r="541" spans="8:33" s="51" customFormat="1">
      <c r="H541" s="71"/>
      <c r="K541" s="71"/>
      <c r="M541" s="86"/>
      <c r="P541" s="86"/>
      <c r="W541" s="92"/>
      <c r="X541" s="92"/>
      <c r="Y541" s="92"/>
      <c r="Z541" s="92"/>
      <c r="AA541" s="273"/>
      <c r="AB541" s="66"/>
      <c r="AD541" s="71"/>
      <c r="AE541" s="71"/>
      <c r="AF541" s="71"/>
      <c r="AG541" s="71"/>
    </row>
    <row r="542" spans="8:33" s="51" customFormat="1">
      <c r="H542" s="71"/>
      <c r="K542" s="71"/>
      <c r="M542" s="86"/>
      <c r="P542" s="86"/>
      <c r="W542" s="92"/>
      <c r="X542" s="92"/>
      <c r="Y542" s="92"/>
      <c r="Z542" s="92"/>
      <c r="AA542" s="273"/>
      <c r="AB542" s="66"/>
      <c r="AD542" s="71"/>
      <c r="AE542" s="71"/>
      <c r="AF542" s="71"/>
      <c r="AG542" s="71"/>
    </row>
    <row r="543" spans="8:33" s="51" customFormat="1">
      <c r="H543" s="71"/>
      <c r="K543" s="71"/>
      <c r="M543" s="86"/>
      <c r="P543" s="86"/>
      <c r="W543" s="92"/>
      <c r="X543" s="92"/>
      <c r="Y543" s="92"/>
      <c r="Z543" s="92"/>
      <c r="AA543" s="273"/>
      <c r="AB543" s="66"/>
      <c r="AD543" s="71"/>
      <c r="AE543" s="71"/>
      <c r="AF543" s="71"/>
      <c r="AG543" s="71"/>
    </row>
    <row r="544" spans="8:33" s="51" customFormat="1">
      <c r="H544" s="71"/>
      <c r="K544" s="71"/>
      <c r="M544" s="86"/>
      <c r="P544" s="86"/>
      <c r="W544" s="92"/>
      <c r="X544" s="92"/>
      <c r="Y544" s="92"/>
      <c r="Z544" s="92"/>
      <c r="AA544" s="273"/>
      <c r="AB544" s="66"/>
      <c r="AD544" s="71"/>
      <c r="AE544" s="71"/>
      <c r="AF544" s="71"/>
      <c r="AG544" s="71"/>
    </row>
    <row r="545" spans="8:33" s="51" customFormat="1">
      <c r="H545" s="71"/>
      <c r="K545" s="71"/>
      <c r="M545" s="86"/>
      <c r="P545" s="86"/>
      <c r="W545" s="92"/>
      <c r="X545" s="92"/>
      <c r="Y545" s="92"/>
      <c r="Z545" s="92"/>
      <c r="AA545" s="273"/>
      <c r="AB545" s="66"/>
      <c r="AD545" s="71"/>
      <c r="AE545" s="71"/>
      <c r="AF545" s="71"/>
      <c r="AG545" s="71"/>
    </row>
    <row r="546" spans="8:33" s="51" customFormat="1">
      <c r="H546" s="71"/>
      <c r="K546" s="71"/>
      <c r="M546" s="86"/>
      <c r="P546" s="86"/>
      <c r="W546" s="92"/>
      <c r="X546" s="92"/>
      <c r="Y546" s="92"/>
      <c r="Z546" s="92"/>
      <c r="AA546" s="273"/>
      <c r="AB546" s="66"/>
      <c r="AD546" s="71"/>
      <c r="AE546" s="71"/>
      <c r="AF546" s="71"/>
      <c r="AG546" s="71"/>
    </row>
    <row r="547" spans="8:33" s="51" customFormat="1">
      <c r="H547" s="71"/>
      <c r="K547" s="71"/>
      <c r="M547" s="86"/>
      <c r="P547" s="86"/>
      <c r="W547" s="92"/>
      <c r="X547" s="92"/>
      <c r="Y547" s="92"/>
      <c r="Z547" s="92"/>
      <c r="AA547" s="273"/>
      <c r="AB547" s="66"/>
      <c r="AD547" s="71"/>
      <c r="AE547" s="71"/>
      <c r="AF547" s="71"/>
      <c r="AG547" s="71"/>
    </row>
    <row r="548" spans="8:33" s="51" customFormat="1">
      <c r="H548" s="71"/>
      <c r="K548" s="71"/>
      <c r="M548" s="86"/>
      <c r="P548" s="86"/>
      <c r="W548" s="92"/>
      <c r="X548" s="92"/>
      <c r="Y548" s="92"/>
      <c r="Z548" s="92"/>
      <c r="AA548" s="273"/>
      <c r="AB548" s="66"/>
      <c r="AD548" s="71"/>
      <c r="AE548" s="71"/>
      <c r="AF548" s="71"/>
      <c r="AG548" s="71"/>
    </row>
    <row r="549" spans="8:33" s="51" customFormat="1">
      <c r="H549" s="71"/>
      <c r="K549" s="71"/>
      <c r="M549" s="86"/>
      <c r="P549" s="86"/>
      <c r="W549" s="92"/>
      <c r="X549" s="92"/>
      <c r="Y549" s="92"/>
      <c r="Z549" s="92"/>
      <c r="AA549" s="273"/>
      <c r="AB549" s="66"/>
      <c r="AD549" s="71"/>
      <c r="AE549" s="71"/>
      <c r="AF549" s="71"/>
      <c r="AG549" s="71"/>
    </row>
    <row r="550" spans="8:33" s="51" customFormat="1">
      <c r="H550" s="71"/>
      <c r="K550" s="71"/>
      <c r="M550" s="86"/>
      <c r="P550" s="86"/>
      <c r="W550" s="92"/>
      <c r="X550" s="92"/>
      <c r="Y550" s="92"/>
      <c r="Z550" s="92"/>
      <c r="AA550" s="273"/>
      <c r="AB550" s="66"/>
      <c r="AD550" s="71"/>
      <c r="AE550" s="71"/>
      <c r="AF550" s="71"/>
      <c r="AG550" s="71"/>
    </row>
    <row r="551" spans="8:33" s="51" customFormat="1">
      <c r="H551" s="71"/>
      <c r="K551" s="71"/>
      <c r="M551" s="86"/>
      <c r="P551" s="86"/>
      <c r="W551" s="92"/>
      <c r="X551" s="92"/>
      <c r="Y551" s="92"/>
      <c r="Z551" s="92"/>
      <c r="AA551" s="273"/>
      <c r="AB551" s="66"/>
      <c r="AD551" s="71"/>
      <c r="AE551" s="71"/>
      <c r="AF551" s="71"/>
      <c r="AG551" s="71"/>
    </row>
    <row r="552" spans="8:33" s="51" customFormat="1">
      <c r="H552" s="71"/>
      <c r="K552" s="71"/>
      <c r="M552" s="86"/>
      <c r="P552" s="86"/>
      <c r="W552" s="92"/>
      <c r="X552" s="92"/>
      <c r="Y552" s="92"/>
      <c r="Z552" s="92"/>
      <c r="AA552" s="273"/>
      <c r="AB552" s="66"/>
      <c r="AD552" s="71"/>
      <c r="AE552" s="71"/>
      <c r="AF552" s="71"/>
      <c r="AG552" s="71"/>
    </row>
    <row r="553" spans="8:33" s="51" customFormat="1">
      <c r="H553" s="71"/>
      <c r="K553" s="71"/>
      <c r="M553" s="86"/>
      <c r="P553" s="86"/>
      <c r="W553" s="92"/>
      <c r="X553" s="92"/>
      <c r="Y553" s="92"/>
      <c r="Z553" s="92"/>
      <c r="AA553" s="273"/>
      <c r="AB553" s="66"/>
      <c r="AD553" s="71"/>
      <c r="AE553" s="71"/>
      <c r="AF553" s="71"/>
      <c r="AG553" s="71"/>
    </row>
    <row r="554" spans="8:33" s="51" customFormat="1">
      <c r="H554" s="71"/>
      <c r="K554" s="71"/>
      <c r="M554" s="86"/>
      <c r="P554" s="86"/>
      <c r="W554" s="92"/>
      <c r="X554" s="92"/>
      <c r="Y554" s="92"/>
      <c r="Z554" s="92"/>
      <c r="AA554" s="273"/>
      <c r="AB554" s="66"/>
      <c r="AD554" s="71"/>
      <c r="AE554" s="71"/>
      <c r="AF554" s="71"/>
      <c r="AG554" s="71"/>
    </row>
    <row r="555" spans="8:33" s="51" customFormat="1">
      <c r="H555" s="71"/>
      <c r="K555" s="71"/>
      <c r="M555" s="86"/>
      <c r="P555" s="86"/>
      <c r="W555" s="92"/>
      <c r="X555" s="92"/>
      <c r="Y555" s="92"/>
      <c r="Z555" s="92"/>
      <c r="AA555" s="273"/>
      <c r="AB555" s="66"/>
      <c r="AD555" s="71"/>
      <c r="AE555" s="71"/>
      <c r="AF555" s="71"/>
      <c r="AG555" s="71"/>
    </row>
    <row r="556" spans="8:33" s="51" customFormat="1">
      <c r="H556" s="71"/>
      <c r="K556" s="71"/>
      <c r="M556" s="86"/>
      <c r="P556" s="86"/>
      <c r="W556" s="92"/>
      <c r="X556" s="92"/>
      <c r="Y556" s="92"/>
      <c r="Z556" s="92"/>
      <c r="AA556" s="273"/>
      <c r="AB556" s="66"/>
      <c r="AD556" s="71"/>
      <c r="AE556" s="71"/>
      <c r="AF556" s="71"/>
      <c r="AG556" s="71"/>
    </row>
    <row r="557" spans="8:33" s="51" customFormat="1">
      <c r="H557" s="71"/>
      <c r="K557" s="71"/>
      <c r="M557" s="86"/>
      <c r="P557" s="86"/>
      <c r="W557" s="92"/>
      <c r="X557" s="92"/>
      <c r="Y557" s="92"/>
      <c r="Z557" s="92"/>
      <c r="AA557" s="273"/>
      <c r="AB557" s="66"/>
      <c r="AD557" s="71"/>
      <c r="AE557" s="71"/>
      <c r="AF557" s="71"/>
      <c r="AG557" s="71"/>
    </row>
    <row r="558" spans="8:33" s="51" customFormat="1">
      <c r="H558" s="71"/>
      <c r="K558" s="71"/>
      <c r="M558" s="86"/>
      <c r="P558" s="86"/>
      <c r="W558" s="92"/>
      <c r="X558" s="92"/>
      <c r="Y558" s="92"/>
      <c r="Z558" s="92"/>
      <c r="AA558" s="273"/>
      <c r="AB558" s="66"/>
      <c r="AD558" s="71"/>
      <c r="AE558" s="71"/>
      <c r="AF558" s="71"/>
      <c r="AG558" s="71"/>
    </row>
    <row r="559" spans="8:33" s="51" customFormat="1">
      <c r="H559" s="71"/>
      <c r="K559" s="71"/>
      <c r="M559" s="86"/>
      <c r="P559" s="86"/>
      <c r="W559" s="92"/>
      <c r="X559" s="92"/>
      <c r="Y559" s="92"/>
      <c r="Z559" s="92"/>
      <c r="AA559" s="273"/>
      <c r="AB559" s="66"/>
      <c r="AD559" s="71"/>
      <c r="AE559" s="71"/>
      <c r="AF559" s="71"/>
      <c r="AG559" s="71"/>
    </row>
    <row r="560" spans="8:33" s="51" customFormat="1">
      <c r="H560" s="71"/>
      <c r="K560" s="71"/>
      <c r="M560" s="86"/>
      <c r="P560" s="86"/>
      <c r="W560" s="92"/>
      <c r="X560" s="92"/>
      <c r="Y560" s="92"/>
      <c r="Z560" s="92"/>
      <c r="AA560" s="273"/>
      <c r="AB560" s="66"/>
      <c r="AD560" s="71"/>
      <c r="AE560" s="71"/>
      <c r="AF560" s="71"/>
      <c r="AG560" s="71"/>
    </row>
    <row r="561" spans="8:33" s="51" customFormat="1">
      <c r="H561" s="71"/>
      <c r="K561" s="71"/>
      <c r="M561" s="86"/>
      <c r="P561" s="86"/>
      <c r="W561" s="92"/>
      <c r="X561" s="92"/>
      <c r="Y561" s="92"/>
      <c r="Z561" s="92"/>
      <c r="AA561" s="273"/>
      <c r="AB561" s="66"/>
      <c r="AD561" s="71"/>
      <c r="AE561" s="71"/>
      <c r="AF561" s="71"/>
      <c r="AG561" s="71"/>
    </row>
    <row r="562" spans="8:33" s="51" customFormat="1">
      <c r="H562" s="71"/>
      <c r="K562" s="71"/>
      <c r="M562" s="86"/>
      <c r="P562" s="86"/>
      <c r="W562" s="92"/>
      <c r="X562" s="92"/>
      <c r="Y562" s="92"/>
      <c r="Z562" s="92"/>
      <c r="AA562" s="273"/>
      <c r="AB562" s="66"/>
      <c r="AD562" s="71"/>
      <c r="AE562" s="71"/>
      <c r="AF562" s="71"/>
      <c r="AG562" s="71"/>
    </row>
    <row r="563" spans="8:33" s="51" customFormat="1">
      <c r="H563" s="71"/>
      <c r="K563" s="71"/>
      <c r="M563" s="86"/>
      <c r="P563" s="86"/>
      <c r="W563" s="92"/>
      <c r="X563" s="92"/>
      <c r="Y563" s="92"/>
      <c r="Z563" s="92"/>
      <c r="AA563" s="273"/>
      <c r="AB563" s="66"/>
      <c r="AD563" s="71"/>
      <c r="AE563" s="71"/>
      <c r="AF563" s="71"/>
      <c r="AG563" s="71"/>
    </row>
    <row r="564" spans="8:33" s="51" customFormat="1">
      <c r="H564" s="71"/>
      <c r="K564" s="71"/>
      <c r="M564" s="86"/>
      <c r="P564" s="86"/>
      <c r="W564" s="92"/>
      <c r="X564" s="92"/>
      <c r="Y564" s="92"/>
      <c r="Z564" s="92"/>
      <c r="AA564" s="273"/>
      <c r="AB564" s="66"/>
      <c r="AD564" s="71"/>
      <c r="AE564" s="71"/>
      <c r="AF564" s="71"/>
      <c r="AG564" s="71"/>
    </row>
    <row r="565" spans="8:33" s="51" customFormat="1">
      <c r="H565" s="71"/>
      <c r="K565" s="71"/>
      <c r="M565" s="86"/>
      <c r="P565" s="86"/>
      <c r="W565" s="92"/>
      <c r="X565" s="92"/>
      <c r="Y565" s="92"/>
      <c r="Z565" s="92"/>
      <c r="AA565" s="273"/>
      <c r="AB565" s="66"/>
      <c r="AD565" s="71"/>
      <c r="AE565" s="71"/>
      <c r="AF565" s="71"/>
      <c r="AG565" s="71"/>
    </row>
    <row r="566" spans="8:33" s="51" customFormat="1">
      <c r="H566" s="71"/>
      <c r="K566" s="71"/>
      <c r="M566" s="86"/>
      <c r="P566" s="86"/>
      <c r="W566" s="92"/>
      <c r="X566" s="92"/>
      <c r="Y566" s="92"/>
      <c r="Z566" s="92"/>
      <c r="AA566" s="273"/>
      <c r="AB566" s="66"/>
      <c r="AD566" s="71"/>
      <c r="AE566" s="71"/>
      <c r="AF566" s="71"/>
      <c r="AG566" s="71"/>
    </row>
    <row r="567" spans="8:33" s="51" customFormat="1">
      <c r="H567" s="71"/>
      <c r="K567" s="71"/>
      <c r="M567" s="86"/>
      <c r="P567" s="86"/>
      <c r="W567" s="92"/>
      <c r="X567" s="92"/>
      <c r="Y567" s="92"/>
      <c r="Z567" s="92"/>
      <c r="AA567" s="273"/>
      <c r="AB567" s="66"/>
      <c r="AD567" s="71"/>
      <c r="AE567" s="71"/>
      <c r="AF567" s="71"/>
      <c r="AG567" s="71"/>
    </row>
    <row r="568" spans="8:33" s="51" customFormat="1">
      <c r="H568" s="71"/>
      <c r="K568" s="71"/>
      <c r="M568" s="86"/>
      <c r="P568" s="86"/>
      <c r="W568" s="92"/>
      <c r="X568" s="92"/>
      <c r="Y568" s="92"/>
      <c r="Z568" s="92"/>
      <c r="AA568" s="273"/>
      <c r="AB568" s="66"/>
      <c r="AD568" s="71"/>
      <c r="AE568" s="71"/>
      <c r="AF568" s="71"/>
      <c r="AG568" s="71"/>
    </row>
    <row r="569" spans="8:33" s="51" customFormat="1">
      <c r="H569" s="71"/>
      <c r="K569" s="71"/>
      <c r="M569" s="86"/>
      <c r="P569" s="86"/>
      <c r="W569" s="92"/>
      <c r="X569" s="92"/>
      <c r="Y569" s="92"/>
      <c r="Z569" s="92"/>
      <c r="AA569" s="273"/>
      <c r="AB569" s="66"/>
      <c r="AD569" s="71"/>
      <c r="AE569" s="71"/>
      <c r="AF569" s="71"/>
      <c r="AG569" s="71"/>
    </row>
    <row r="570" spans="8:33" s="51" customFormat="1">
      <c r="H570" s="71"/>
      <c r="K570" s="71"/>
      <c r="M570" s="86"/>
      <c r="P570" s="86"/>
      <c r="W570" s="92"/>
      <c r="X570" s="92"/>
      <c r="Y570" s="92"/>
      <c r="Z570" s="92"/>
      <c r="AA570" s="273"/>
      <c r="AB570" s="66"/>
      <c r="AD570" s="71"/>
      <c r="AE570" s="71"/>
      <c r="AF570" s="71"/>
      <c r="AG570" s="71"/>
    </row>
    <row r="571" spans="8:33" s="51" customFormat="1">
      <c r="H571" s="71"/>
      <c r="K571" s="71"/>
      <c r="M571" s="86"/>
      <c r="P571" s="86"/>
      <c r="W571" s="92"/>
      <c r="X571" s="92"/>
      <c r="Y571" s="92"/>
      <c r="Z571" s="92"/>
      <c r="AA571" s="273"/>
      <c r="AB571" s="66"/>
      <c r="AD571" s="71"/>
      <c r="AE571" s="71"/>
      <c r="AF571" s="71"/>
      <c r="AG571" s="71"/>
    </row>
    <row r="572" spans="8:33" s="51" customFormat="1">
      <c r="H572" s="71"/>
      <c r="K572" s="71"/>
      <c r="M572" s="86"/>
      <c r="P572" s="86"/>
      <c r="W572" s="92"/>
      <c r="X572" s="92"/>
      <c r="Y572" s="92"/>
      <c r="Z572" s="92"/>
      <c r="AA572" s="273"/>
      <c r="AB572" s="66"/>
      <c r="AD572" s="71"/>
      <c r="AE572" s="71"/>
      <c r="AF572" s="71"/>
      <c r="AG572" s="71"/>
    </row>
    <row r="573" spans="8:33" s="51" customFormat="1">
      <c r="H573" s="71"/>
      <c r="K573" s="71"/>
      <c r="M573" s="86"/>
      <c r="P573" s="86"/>
      <c r="W573" s="92"/>
      <c r="X573" s="92"/>
      <c r="Y573" s="92"/>
      <c r="Z573" s="92"/>
      <c r="AA573" s="273"/>
      <c r="AB573" s="66"/>
      <c r="AD573" s="71"/>
      <c r="AE573" s="71"/>
      <c r="AF573" s="71"/>
      <c r="AG573" s="71"/>
    </row>
    <row r="574" spans="8:33" s="51" customFormat="1">
      <c r="H574" s="71"/>
      <c r="K574" s="71"/>
      <c r="M574" s="86"/>
      <c r="P574" s="86"/>
      <c r="W574" s="92"/>
      <c r="X574" s="92"/>
      <c r="Y574" s="92"/>
      <c r="Z574" s="92"/>
      <c r="AA574" s="273"/>
      <c r="AB574" s="66"/>
      <c r="AD574" s="71"/>
      <c r="AE574" s="71"/>
      <c r="AF574" s="71"/>
      <c r="AG574" s="71"/>
    </row>
    <row r="575" spans="8:33" s="51" customFormat="1">
      <c r="H575" s="71"/>
      <c r="K575" s="71"/>
      <c r="M575" s="86"/>
      <c r="P575" s="86"/>
      <c r="W575" s="92"/>
      <c r="X575" s="92"/>
      <c r="Y575" s="92"/>
      <c r="Z575" s="92"/>
      <c r="AA575" s="273"/>
      <c r="AB575" s="66"/>
      <c r="AD575" s="71"/>
      <c r="AE575" s="71"/>
      <c r="AF575" s="71"/>
      <c r="AG575" s="71"/>
    </row>
    <row r="576" spans="8:33" s="51" customFormat="1">
      <c r="H576" s="71"/>
      <c r="K576" s="71"/>
      <c r="M576" s="86"/>
      <c r="P576" s="86"/>
      <c r="W576" s="92"/>
      <c r="X576" s="92"/>
      <c r="Y576" s="92"/>
      <c r="Z576" s="92"/>
      <c r="AA576" s="273"/>
      <c r="AB576" s="66"/>
      <c r="AD576" s="71"/>
      <c r="AE576" s="71"/>
      <c r="AF576" s="71"/>
      <c r="AG576" s="71"/>
    </row>
    <row r="577" spans="8:33" s="51" customFormat="1">
      <c r="H577" s="71"/>
      <c r="K577" s="71"/>
      <c r="M577" s="86"/>
      <c r="P577" s="86"/>
      <c r="W577" s="92"/>
      <c r="X577" s="92"/>
      <c r="Y577" s="92"/>
      <c r="Z577" s="92"/>
      <c r="AA577" s="273"/>
      <c r="AB577" s="66"/>
      <c r="AD577" s="71"/>
      <c r="AE577" s="71"/>
      <c r="AF577" s="71"/>
      <c r="AG577" s="71"/>
    </row>
    <row r="578" spans="8:33" s="51" customFormat="1">
      <c r="H578" s="71"/>
      <c r="K578" s="71"/>
      <c r="M578" s="86"/>
      <c r="P578" s="86"/>
      <c r="W578" s="92"/>
      <c r="X578" s="92"/>
      <c r="Y578" s="92"/>
      <c r="Z578" s="92"/>
      <c r="AA578" s="273"/>
      <c r="AB578" s="66"/>
      <c r="AD578" s="71"/>
      <c r="AE578" s="71"/>
      <c r="AF578" s="71"/>
      <c r="AG578" s="71"/>
    </row>
    <row r="579" spans="8:33" s="51" customFormat="1">
      <c r="H579" s="71"/>
      <c r="K579" s="71"/>
      <c r="M579" s="86"/>
      <c r="P579" s="86"/>
      <c r="W579" s="92"/>
      <c r="X579" s="92"/>
      <c r="Y579" s="92"/>
      <c r="Z579" s="92"/>
      <c r="AA579" s="273"/>
      <c r="AB579" s="66"/>
      <c r="AD579" s="71"/>
      <c r="AE579" s="71"/>
      <c r="AF579" s="71"/>
      <c r="AG579" s="71"/>
    </row>
    <row r="580" spans="8:33" s="51" customFormat="1">
      <c r="H580" s="71"/>
      <c r="K580" s="71"/>
      <c r="M580" s="86"/>
      <c r="P580" s="86"/>
      <c r="W580" s="92"/>
      <c r="X580" s="92"/>
      <c r="Y580" s="92"/>
      <c r="Z580" s="92"/>
      <c r="AA580" s="273"/>
      <c r="AB580" s="66"/>
      <c r="AD580" s="71"/>
      <c r="AE580" s="71"/>
      <c r="AF580" s="71"/>
      <c r="AG580" s="71"/>
    </row>
    <row r="581" spans="8:33" s="51" customFormat="1">
      <c r="H581" s="71"/>
      <c r="K581" s="71"/>
      <c r="M581" s="86"/>
      <c r="P581" s="86"/>
      <c r="W581" s="92"/>
      <c r="X581" s="92"/>
      <c r="Y581" s="92"/>
      <c r="Z581" s="92"/>
      <c r="AA581" s="273"/>
      <c r="AB581" s="66"/>
      <c r="AD581" s="71"/>
      <c r="AE581" s="71"/>
      <c r="AF581" s="71"/>
      <c r="AG581" s="71"/>
    </row>
    <row r="582" spans="8:33" s="51" customFormat="1">
      <c r="H582" s="71"/>
      <c r="K582" s="71"/>
      <c r="M582" s="86"/>
      <c r="P582" s="86"/>
      <c r="W582" s="92"/>
      <c r="X582" s="92"/>
      <c r="Y582" s="92"/>
      <c r="Z582" s="92"/>
      <c r="AA582" s="273"/>
      <c r="AB582" s="66"/>
      <c r="AD582" s="71"/>
      <c r="AE582" s="71"/>
      <c r="AF582" s="71"/>
      <c r="AG582" s="71"/>
    </row>
    <row r="583" spans="8:33" s="51" customFormat="1">
      <c r="H583" s="71"/>
      <c r="K583" s="71"/>
      <c r="M583" s="86"/>
      <c r="P583" s="86"/>
      <c r="W583" s="92"/>
      <c r="X583" s="92"/>
      <c r="Y583" s="92"/>
      <c r="Z583" s="92"/>
      <c r="AA583" s="273"/>
      <c r="AB583" s="66"/>
      <c r="AD583" s="71"/>
      <c r="AE583" s="71"/>
      <c r="AF583" s="71"/>
      <c r="AG583" s="71"/>
    </row>
    <row r="584" spans="8:33" s="51" customFormat="1">
      <c r="H584" s="71"/>
      <c r="K584" s="71"/>
      <c r="M584" s="86"/>
      <c r="P584" s="86"/>
      <c r="W584" s="92"/>
      <c r="X584" s="92"/>
      <c r="Y584" s="92"/>
      <c r="Z584" s="92"/>
      <c r="AA584" s="273"/>
      <c r="AB584" s="66"/>
      <c r="AD584" s="71"/>
      <c r="AE584" s="71"/>
      <c r="AF584" s="71"/>
      <c r="AG584" s="71"/>
    </row>
    <row r="585" spans="8:33" s="51" customFormat="1">
      <c r="H585" s="71"/>
      <c r="K585" s="71"/>
      <c r="M585" s="86"/>
      <c r="P585" s="86"/>
      <c r="W585" s="92"/>
      <c r="X585" s="92"/>
      <c r="Y585" s="92"/>
      <c r="Z585" s="92"/>
      <c r="AA585" s="273"/>
      <c r="AB585" s="66"/>
      <c r="AD585" s="71"/>
      <c r="AE585" s="71"/>
      <c r="AF585" s="71"/>
      <c r="AG585" s="71"/>
    </row>
    <row r="586" spans="8:33" s="51" customFormat="1">
      <c r="H586" s="71"/>
      <c r="K586" s="71"/>
      <c r="M586" s="86"/>
      <c r="P586" s="86"/>
      <c r="W586" s="92"/>
      <c r="X586" s="92"/>
      <c r="Y586" s="92"/>
      <c r="Z586" s="92"/>
      <c r="AA586" s="273"/>
      <c r="AB586" s="66"/>
      <c r="AD586" s="71"/>
      <c r="AE586" s="71"/>
      <c r="AF586" s="71"/>
      <c r="AG586" s="71"/>
    </row>
    <row r="587" spans="8:33" s="51" customFormat="1">
      <c r="H587" s="71"/>
      <c r="K587" s="71"/>
      <c r="M587" s="86"/>
      <c r="P587" s="86"/>
      <c r="W587" s="92"/>
      <c r="X587" s="92"/>
      <c r="Y587" s="92"/>
      <c r="Z587" s="92"/>
      <c r="AA587" s="273"/>
      <c r="AB587" s="66"/>
      <c r="AD587" s="71"/>
      <c r="AE587" s="71"/>
      <c r="AF587" s="71"/>
      <c r="AG587" s="71"/>
    </row>
    <row r="588" spans="8:33" s="51" customFormat="1">
      <c r="H588" s="71"/>
      <c r="K588" s="71"/>
      <c r="M588" s="86"/>
      <c r="P588" s="86"/>
      <c r="W588" s="92"/>
      <c r="X588" s="92"/>
      <c r="Y588" s="92"/>
      <c r="Z588" s="92"/>
      <c r="AA588" s="273"/>
      <c r="AB588" s="66"/>
      <c r="AD588" s="71"/>
      <c r="AE588" s="71"/>
      <c r="AF588" s="71"/>
      <c r="AG588" s="71"/>
    </row>
    <row r="589" spans="8:33" s="51" customFormat="1">
      <c r="H589" s="71"/>
      <c r="K589" s="71"/>
      <c r="M589" s="86"/>
      <c r="P589" s="86"/>
      <c r="W589" s="92"/>
      <c r="X589" s="92"/>
      <c r="Y589" s="92"/>
      <c r="Z589" s="92"/>
      <c r="AA589" s="273"/>
      <c r="AB589" s="66"/>
      <c r="AD589" s="71"/>
      <c r="AE589" s="71"/>
      <c r="AF589" s="71"/>
      <c r="AG589" s="71"/>
    </row>
    <row r="590" spans="8:33" s="51" customFormat="1">
      <c r="H590" s="71"/>
      <c r="K590" s="71"/>
      <c r="M590" s="86"/>
      <c r="P590" s="86"/>
      <c r="W590" s="92"/>
      <c r="X590" s="92"/>
      <c r="Y590" s="92"/>
      <c r="Z590" s="92"/>
      <c r="AA590" s="273"/>
      <c r="AB590" s="66"/>
      <c r="AD590" s="71"/>
      <c r="AE590" s="71"/>
      <c r="AF590" s="71"/>
      <c r="AG590" s="71"/>
    </row>
    <row r="591" spans="8:33" s="51" customFormat="1">
      <c r="H591" s="71"/>
      <c r="K591" s="71"/>
      <c r="M591" s="86"/>
      <c r="P591" s="86"/>
      <c r="W591" s="92"/>
      <c r="X591" s="92"/>
      <c r="Y591" s="92"/>
      <c r="Z591" s="92"/>
      <c r="AA591" s="273"/>
      <c r="AB591" s="66"/>
      <c r="AD591" s="71"/>
      <c r="AE591" s="71"/>
      <c r="AF591" s="71"/>
      <c r="AG591" s="71"/>
    </row>
    <row r="592" spans="8:33" s="51" customFormat="1">
      <c r="H592" s="71"/>
      <c r="K592" s="71"/>
      <c r="M592" s="86"/>
      <c r="P592" s="86"/>
      <c r="W592" s="92"/>
      <c r="X592" s="92"/>
      <c r="Y592" s="92"/>
      <c r="Z592" s="92"/>
      <c r="AA592" s="273"/>
      <c r="AB592" s="66"/>
      <c r="AD592" s="71"/>
      <c r="AE592" s="71"/>
      <c r="AF592" s="71"/>
      <c r="AG592" s="71"/>
    </row>
    <row r="593" spans="8:33" s="51" customFormat="1">
      <c r="H593" s="71"/>
      <c r="K593" s="71"/>
      <c r="M593" s="86"/>
      <c r="P593" s="86"/>
      <c r="W593" s="92"/>
      <c r="X593" s="92"/>
      <c r="Y593" s="92"/>
      <c r="Z593" s="92"/>
      <c r="AA593" s="273"/>
      <c r="AB593" s="66"/>
      <c r="AD593" s="71"/>
      <c r="AE593" s="71"/>
      <c r="AF593" s="71"/>
      <c r="AG593" s="71"/>
    </row>
    <row r="594" spans="8:33" s="51" customFormat="1">
      <c r="H594" s="71"/>
      <c r="K594" s="71"/>
      <c r="M594" s="86"/>
      <c r="P594" s="86"/>
      <c r="W594" s="92"/>
      <c r="X594" s="92"/>
      <c r="Y594" s="92"/>
      <c r="Z594" s="92"/>
      <c r="AA594" s="273"/>
      <c r="AB594" s="66"/>
      <c r="AD594" s="71"/>
      <c r="AE594" s="71"/>
      <c r="AF594" s="71"/>
      <c r="AG594" s="71"/>
    </row>
    <row r="595" spans="8:33" s="51" customFormat="1">
      <c r="H595" s="71"/>
      <c r="K595" s="71"/>
      <c r="M595" s="86"/>
      <c r="P595" s="86"/>
      <c r="W595" s="92"/>
      <c r="X595" s="92"/>
      <c r="Y595" s="92"/>
      <c r="Z595" s="92"/>
      <c r="AA595" s="273"/>
      <c r="AB595" s="66"/>
      <c r="AD595" s="71"/>
      <c r="AE595" s="71"/>
      <c r="AF595" s="71"/>
      <c r="AG595" s="71"/>
    </row>
    <row r="596" spans="8:33" s="51" customFormat="1">
      <c r="H596" s="71"/>
      <c r="K596" s="71"/>
      <c r="M596" s="86"/>
      <c r="P596" s="86"/>
      <c r="W596" s="92"/>
      <c r="X596" s="92"/>
      <c r="Y596" s="92"/>
      <c r="Z596" s="92"/>
      <c r="AA596" s="273"/>
      <c r="AB596" s="66"/>
      <c r="AD596" s="71"/>
      <c r="AE596" s="71"/>
      <c r="AF596" s="71"/>
      <c r="AG596" s="71"/>
    </row>
    <row r="597" spans="8:33" s="51" customFormat="1">
      <c r="H597" s="71"/>
      <c r="K597" s="71"/>
      <c r="M597" s="86"/>
      <c r="P597" s="86"/>
      <c r="W597" s="92"/>
      <c r="X597" s="92"/>
      <c r="Y597" s="92"/>
      <c r="Z597" s="92"/>
      <c r="AA597" s="273"/>
      <c r="AB597" s="66"/>
      <c r="AD597" s="71"/>
      <c r="AE597" s="71"/>
      <c r="AF597" s="71"/>
      <c r="AG597" s="71"/>
    </row>
    <row r="598" spans="8:33" s="51" customFormat="1">
      <c r="H598" s="71"/>
      <c r="K598" s="71"/>
      <c r="M598" s="86"/>
      <c r="P598" s="86"/>
      <c r="W598" s="92"/>
      <c r="X598" s="92"/>
      <c r="Y598" s="92"/>
      <c r="Z598" s="92"/>
      <c r="AA598" s="273"/>
      <c r="AB598" s="66"/>
      <c r="AD598" s="71"/>
      <c r="AE598" s="71"/>
      <c r="AF598" s="71"/>
      <c r="AG598" s="71"/>
    </row>
    <row r="599" spans="8:33" s="51" customFormat="1">
      <c r="H599" s="71"/>
      <c r="K599" s="71"/>
      <c r="M599" s="86"/>
      <c r="P599" s="86"/>
      <c r="W599" s="92"/>
      <c r="X599" s="92"/>
      <c r="Y599" s="92"/>
      <c r="Z599" s="92"/>
      <c r="AA599" s="273"/>
      <c r="AB599" s="66"/>
      <c r="AD599" s="71"/>
      <c r="AE599" s="71"/>
      <c r="AF599" s="71"/>
      <c r="AG599" s="71"/>
    </row>
    <row r="600" spans="8:33" s="51" customFormat="1">
      <c r="H600" s="71"/>
      <c r="K600" s="71"/>
      <c r="M600" s="86"/>
      <c r="P600" s="86"/>
      <c r="W600" s="92"/>
      <c r="X600" s="92"/>
      <c r="Y600" s="92"/>
      <c r="Z600" s="92"/>
      <c r="AA600" s="273"/>
      <c r="AB600" s="66"/>
      <c r="AD600" s="71"/>
      <c r="AE600" s="71"/>
      <c r="AF600" s="71"/>
      <c r="AG600" s="71"/>
    </row>
    <row r="601" spans="8:33" s="51" customFormat="1">
      <c r="H601" s="71"/>
      <c r="K601" s="71"/>
      <c r="M601" s="86"/>
      <c r="P601" s="86"/>
      <c r="W601" s="92"/>
      <c r="X601" s="92"/>
      <c r="Y601" s="92"/>
      <c r="Z601" s="92"/>
      <c r="AA601" s="273"/>
      <c r="AB601" s="66"/>
      <c r="AD601" s="71"/>
      <c r="AE601" s="71"/>
      <c r="AF601" s="71"/>
      <c r="AG601" s="71"/>
    </row>
    <row r="602" spans="8:33" s="51" customFormat="1">
      <c r="H602" s="71"/>
      <c r="K602" s="71"/>
      <c r="M602" s="86"/>
      <c r="P602" s="86"/>
      <c r="W602" s="92"/>
      <c r="X602" s="92"/>
      <c r="Y602" s="92"/>
      <c r="Z602" s="92"/>
      <c r="AA602" s="273"/>
      <c r="AB602" s="66"/>
      <c r="AD602" s="71"/>
      <c r="AE602" s="71"/>
      <c r="AF602" s="71"/>
      <c r="AG602" s="71"/>
    </row>
    <row r="603" spans="8:33" s="51" customFormat="1">
      <c r="H603" s="71"/>
      <c r="K603" s="71"/>
      <c r="M603" s="86"/>
      <c r="P603" s="86"/>
      <c r="W603" s="92"/>
      <c r="X603" s="92"/>
      <c r="Y603" s="92"/>
      <c r="Z603" s="92"/>
      <c r="AA603" s="273"/>
      <c r="AB603" s="66"/>
      <c r="AD603" s="71"/>
      <c r="AE603" s="71"/>
      <c r="AF603" s="71"/>
      <c r="AG603" s="71"/>
    </row>
    <row r="604" spans="8:33" s="51" customFormat="1">
      <c r="H604" s="71"/>
      <c r="K604" s="71"/>
      <c r="M604" s="86"/>
      <c r="P604" s="86"/>
      <c r="W604" s="92"/>
      <c r="X604" s="92"/>
      <c r="Y604" s="92"/>
      <c r="Z604" s="92"/>
      <c r="AA604" s="273"/>
      <c r="AB604" s="66"/>
      <c r="AD604" s="71"/>
      <c r="AE604" s="71"/>
      <c r="AF604" s="71"/>
      <c r="AG604" s="71"/>
    </row>
    <row r="605" spans="8:33" s="51" customFormat="1">
      <c r="H605" s="71"/>
      <c r="K605" s="71"/>
      <c r="M605" s="86"/>
      <c r="P605" s="86"/>
      <c r="W605" s="92"/>
      <c r="X605" s="92"/>
      <c r="Y605" s="92"/>
      <c r="Z605" s="92"/>
      <c r="AA605" s="273"/>
      <c r="AB605" s="66"/>
      <c r="AD605" s="71"/>
      <c r="AE605" s="71"/>
      <c r="AF605" s="71"/>
      <c r="AG605" s="71"/>
    </row>
    <row r="606" spans="8:33" s="51" customFormat="1">
      <c r="H606" s="71"/>
      <c r="K606" s="71"/>
      <c r="M606" s="86"/>
      <c r="P606" s="86"/>
      <c r="W606" s="92"/>
      <c r="X606" s="92"/>
      <c r="Y606" s="92"/>
      <c r="Z606" s="92"/>
      <c r="AA606" s="273"/>
      <c r="AB606" s="66"/>
      <c r="AD606" s="71"/>
      <c r="AE606" s="71"/>
      <c r="AF606" s="71"/>
      <c r="AG606" s="71"/>
    </row>
    <row r="607" spans="8:33" s="51" customFormat="1">
      <c r="H607" s="71"/>
      <c r="K607" s="71"/>
      <c r="M607" s="86"/>
      <c r="P607" s="86"/>
      <c r="W607" s="92"/>
      <c r="X607" s="92"/>
      <c r="Y607" s="92"/>
      <c r="Z607" s="92"/>
      <c r="AA607" s="273"/>
      <c r="AB607" s="66"/>
      <c r="AD607" s="71"/>
      <c r="AE607" s="71"/>
      <c r="AF607" s="71"/>
      <c r="AG607" s="71"/>
    </row>
    <row r="608" spans="8:33" s="51" customFormat="1">
      <c r="H608" s="71"/>
      <c r="K608" s="71"/>
      <c r="M608" s="86"/>
      <c r="P608" s="86"/>
      <c r="W608" s="92"/>
      <c r="X608" s="92"/>
      <c r="Y608" s="92"/>
      <c r="Z608" s="92"/>
      <c r="AA608" s="273"/>
      <c r="AB608" s="66"/>
      <c r="AD608" s="71"/>
      <c r="AE608" s="71"/>
      <c r="AF608" s="71"/>
      <c r="AG608" s="71"/>
    </row>
    <row r="609" spans="8:33" s="51" customFormat="1">
      <c r="H609" s="71"/>
      <c r="K609" s="71"/>
      <c r="M609" s="86"/>
      <c r="P609" s="86"/>
      <c r="W609" s="92"/>
      <c r="X609" s="92"/>
      <c r="Y609" s="92"/>
      <c r="Z609" s="92"/>
      <c r="AA609" s="273"/>
      <c r="AB609" s="66"/>
      <c r="AD609" s="71"/>
      <c r="AE609" s="71"/>
      <c r="AF609" s="71"/>
      <c r="AG609" s="71"/>
    </row>
    <row r="610" spans="8:33" s="51" customFormat="1">
      <c r="H610" s="71"/>
      <c r="K610" s="71"/>
      <c r="M610" s="86"/>
      <c r="P610" s="86"/>
      <c r="W610" s="92"/>
      <c r="X610" s="92"/>
      <c r="Y610" s="92"/>
      <c r="Z610" s="92"/>
      <c r="AA610" s="273"/>
      <c r="AB610" s="66"/>
      <c r="AD610" s="71"/>
      <c r="AE610" s="71"/>
      <c r="AF610" s="71"/>
      <c r="AG610" s="71"/>
    </row>
    <row r="611" spans="8:33" s="51" customFormat="1">
      <c r="H611" s="71"/>
      <c r="K611" s="71"/>
      <c r="M611" s="86"/>
      <c r="P611" s="86"/>
      <c r="W611" s="92"/>
      <c r="X611" s="92"/>
      <c r="Y611" s="92"/>
      <c r="Z611" s="92"/>
      <c r="AA611" s="273"/>
      <c r="AB611" s="66"/>
      <c r="AD611" s="71"/>
      <c r="AE611" s="71"/>
      <c r="AF611" s="71"/>
      <c r="AG611" s="71"/>
    </row>
    <row r="612" spans="8:33" s="51" customFormat="1">
      <c r="H612" s="71"/>
      <c r="K612" s="71"/>
      <c r="M612" s="86"/>
      <c r="P612" s="86"/>
      <c r="W612" s="92"/>
      <c r="X612" s="92"/>
      <c r="Y612" s="92"/>
      <c r="Z612" s="92"/>
      <c r="AA612" s="273"/>
      <c r="AB612" s="66"/>
      <c r="AD612" s="71"/>
      <c r="AE612" s="71"/>
      <c r="AF612" s="71"/>
      <c r="AG612" s="71"/>
    </row>
    <row r="613" spans="8:33" s="51" customFormat="1">
      <c r="H613" s="71"/>
      <c r="K613" s="71"/>
      <c r="M613" s="86"/>
      <c r="P613" s="86"/>
      <c r="W613" s="92"/>
      <c r="X613" s="92"/>
      <c r="Y613" s="92"/>
      <c r="Z613" s="92"/>
      <c r="AA613" s="273"/>
      <c r="AB613" s="66"/>
      <c r="AD613" s="71"/>
      <c r="AE613" s="71"/>
      <c r="AF613" s="71"/>
      <c r="AG613" s="71"/>
    </row>
    <row r="614" spans="8:33" s="51" customFormat="1">
      <c r="H614" s="71"/>
      <c r="K614" s="71"/>
      <c r="M614" s="86"/>
      <c r="P614" s="86"/>
      <c r="W614" s="92"/>
      <c r="X614" s="92"/>
      <c r="Y614" s="92"/>
      <c r="Z614" s="92"/>
      <c r="AA614" s="273"/>
      <c r="AB614" s="66"/>
      <c r="AD614" s="71"/>
      <c r="AE614" s="71"/>
      <c r="AF614" s="71"/>
      <c r="AG614" s="71"/>
    </row>
    <row r="615" spans="8:33" s="51" customFormat="1">
      <c r="H615" s="71"/>
      <c r="K615" s="71"/>
      <c r="M615" s="86"/>
      <c r="P615" s="86"/>
      <c r="W615" s="92"/>
      <c r="X615" s="92"/>
      <c r="Y615" s="92"/>
      <c r="Z615" s="92"/>
      <c r="AA615" s="273"/>
      <c r="AB615" s="66"/>
      <c r="AD615" s="71"/>
      <c r="AE615" s="71"/>
      <c r="AF615" s="71"/>
      <c r="AG615" s="71"/>
    </row>
    <row r="616" spans="8:33" s="51" customFormat="1">
      <c r="H616" s="71"/>
      <c r="K616" s="71"/>
      <c r="M616" s="86"/>
      <c r="P616" s="86"/>
      <c r="W616" s="92"/>
      <c r="X616" s="92"/>
      <c r="Y616" s="92"/>
      <c r="Z616" s="92"/>
      <c r="AA616" s="273"/>
      <c r="AB616" s="66"/>
      <c r="AD616" s="71"/>
      <c r="AE616" s="71"/>
      <c r="AF616" s="71"/>
      <c r="AG616" s="71"/>
    </row>
    <row r="617" spans="8:33" s="51" customFormat="1">
      <c r="H617" s="71"/>
      <c r="K617" s="71"/>
      <c r="M617" s="86"/>
      <c r="P617" s="86"/>
      <c r="W617" s="92"/>
      <c r="X617" s="92"/>
      <c r="Y617" s="92"/>
      <c r="Z617" s="92"/>
      <c r="AA617" s="273"/>
      <c r="AB617" s="66"/>
      <c r="AD617" s="71"/>
      <c r="AE617" s="71"/>
      <c r="AF617" s="71"/>
      <c r="AG617" s="71"/>
    </row>
    <row r="618" spans="8:33" s="51" customFormat="1">
      <c r="H618" s="71"/>
      <c r="K618" s="71"/>
      <c r="M618" s="86"/>
      <c r="P618" s="86"/>
      <c r="W618" s="92"/>
      <c r="X618" s="92"/>
      <c r="Y618" s="92"/>
      <c r="Z618" s="92"/>
      <c r="AA618" s="273"/>
      <c r="AB618" s="66"/>
      <c r="AD618" s="71"/>
      <c r="AE618" s="71"/>
      <c r="AF618" s="71"/>
      <c r="AG618" s="71"/>
    </row>
    <row r="619" spans="8:33" s="51" customFormat="1">
      <c r="H619" s="71"/>
      <c r="K619" s="71"/>
      <c r="M619" s="86"/>
      <c r="P619" s="86"/>
      <c r="W619" s="92"/>
      <c r="X619" s="92"/>
      <c r="Y619" s="92"/>
      <c r="Z619" s="92"/>
      <c r="AA619" s="273"/>
      <c r="AB619" s="66"/>
      <c r="AD619" s="71"/>
      <c r="AE619" s="71"/>
      <c r="AF619" s="71"/>
      <c r="AG619" s="71"/>
    </row>
    <row r="620" spans="8:33" s="51" customFormat="1">
      <c r="H620" s="71"/>
      <c r="K620" s="71"/>
      <c r="M620" s="86"/>
      <c r="P620" s="86"/>
      <c r="W620" s="92"/>
      <c r="X620" s="92"/>
      <c r="Y620" s="92"/>
      <c r="Z620" s="92"/>
      <c r="AA620" s="273"/>
      <c r="AB620" s="66"/>
      <c r="AD620" s="71"/>
      <c r="AE620" s="71"/>
      <c r="AF620" s="71"/>
      <c r="AG620" s="71"/>
    </row>
    <row r="621" spans="8:33" s="51" customFormat="1">
      <c r="H621" s="71"/>
      <c r="K621" s="71"/>
      <c r="M621" s="86"/>
      <c r="P621" s="86"/>
      <c r="W621" s="92"/>
      <c r="X621" s="92"/>
      <c r="Y621" s="92"/>
      <c r="Z621" s="92"/>
      <c r="AA621" s="273"/>
      <c r="AB621" s="66"/>
      <c r="AD621" s="71"/>
      <c r="AE621" s="71"/>
      <c r="AF621" s="71"/>
      <c r="AG621" s="71"/>
    </row>
    <row r="622" spans="8:33" s="51" customFormat="1">
      <c r="H622" s="71"/>
      <c r="K622" s="71"/>
      <c r="M622" s="86"/>
      <c r="P622" s="86"/>
      <c r="W622" s="92"/>
      <c r="X622" s="92"/>
      <c r="Y622" s="92"/>
      <c r="Z622" s="92"/>
      <c r="AA622" s="273"/>
      <c r="AB622" s="66"/>
      <c r="AD622" s="71"/>
      <c r="AE622" s="71"/>
      <c r="AF622" s="71"/>
      <c r="AG622" s="71"/>
    </row>
    <row r="623" spans="8:33" s="51" customFormat="1">
      <c r="H623" s="71"/>
      <c r="K623" s="71"/>
      <c r="M623" s="86"/>
      <c r="P623" s="86"/>
      <c r="W623" s="92"/>
      <c r="X623" s="92"/>
      <c r="Y623" s="92"/>
      <c r="Z623" s="92"/>
      <c r="AA623" s="273"/>
      <c r="AB623" s="66"/>
      <c r="AD623" s="71"/>
      <c r="AE623" s="71"/>
      <c r="AF623" s="71"/>
      <c r="AG623" s="71"/>
    </row>
    <row r="624" spans="8:33" s="51" customFormat="1">
      <c r="H624" s="71"/>
      <c r="K624" s="71"/>
      <c r="M624" s="86"/>
      <c r="P624" s="86"/>
      <c r="W624" s="92"/>
      <c r="X624" s="92"/>
      <c r="Y624" s="92"/>
      <c r="Z624" s="92"/>
      <c r="AA624" s="273"/>
      <c r="AB624" s="66"/>
      <c r="AD624" s="71"/>
      <c r="AE624" s="71"/>
      <c r="AF624" s="71"/>
      <c r="AG624" s="71"/>
    </row>
    <row r="625" spans="8:33" s="51" customFormat="1">
      <c r="H625" s="71"/>
      <c r="K625" s="71"/>
      <c r="M625" s="86"/>
      <c r="P625" s="86"/>
      <c r="W625" s="92"/>
      <c r="X625" s="92"/>
      <c r="Y625" s="92"/>
      <c r="Z625" s="92"/>
      <c r="AA625" s="273"/>
      <c r="AB625" s="66"/>
      <c r="AD625" s="71"/>
      <c r="AE625" s="71"/>
      <c r="AF625" s="71"/>
      <c r="AG625" s="71"/>
    </row>
    <row r="626" spans="8:33" s="51" customFormat="1">
      <c r="H626" s="71"/>
      <c r="K626" s="71"/>
      <c r="M626" s="86"/>
      <c r="P626" s="86"/>
      <c r="W626" s="92"/>
      <c r="X626" s="92"/>
      <c r="Y626" s="92"/>
      <c r="Z626" s="92"/>
      <c r="AA626" s="273"/>
      <c r="AB626" s="66"/>
      <c r="AD626" s="71"/>
      <c r="AE626" s="71"/>
      <c r="AF626" s="71"/>
      <c r="AG626" s="71"/>
    </row>
    <row r="627" spans="8:33" s="51" customFormat="1">
      <c r="H627" s="71"/>
      <c r="K627" s="71"/>
      <c r="M627" s="86"/>
      <c r="P627" s="86"/>
      <c r="W627" s="92"/>
      <c r="X627" s="92"/>
      <c r="Y627" s="92"/>
      <c r="Z627" s="92"/>
      <c r="AA627" s="273"/>
      <c r="AB627" s="66"/>
      <c r="AD627" s="71"/>
      <c r="AE627" s="71"/>
      <c r="AF627" s="71"/>
      <c r="AG627" s="71"/>
    </row>
    <row r="628" spans="8:33" s="51" customFormat="1">
      <c r="H628" s="71"/>
      <c r="K628" s="71"/>
      <c r="M628" s="86"/>
      <c r="P628" s="86"/>
      <c r="W628" s="92"/>
      <c r="X628" s="92"/>
      <c r="Y628" s="92"/>
      <c r="Z628" s="92"/>
      <c r="AA628" s="273"/>
      <c r="AB628" s="66"/>
      <c r="AD628" s="71"/>
      <c r="AE628" s="71"/>
      <c r="AF628" s="71"/>
      <c r="AG628" s="71"/>
    </row>
    <row r="629" spans="8:33" s="51" customFormat="1">
      <c r="H629" s="71"/>
      <c r="K629" s="71"/>
      <c r="M629" s="86"/>
      <c r="P629" s="86"/>
      <c r="W629" s="92"/>
      <c r="X629" s="92"/>
      <c r="Y629" s="92"/>
      <c r="Z629" s="92"/>
      <c r="AA629" s="273"/>
      <c r="AB629" s="66"/>
      <c r="AD629" s="71"/>
      <c r="AE629" s="71"/>
      <c r="AF629" s="71"/>
      <c r="AG629" s="71"/>
    </row>
    <row r="630" spans="8:33" s="51" customFormat="1">
      <c r="H630" s="71"/>
      <c r="K630" s="71"/>
      <c r="M630" s="86"/>
      <c r="P630" s="86"/>
      <c r="W630" s="92"/>
      <c r="X630" s="92"/>
      <c r="Y630" s="92"/>
      <c r="Z630" s="92"/>
      <c r="AA630" s="273"/>
      <c r="AB630" s="66"/>
      <c r="AD630" s="71"/>
      <c r="AE630" s="71"/>
      <c r="AF630" s="71"/>
      <c r="AG630" s="71"/>
    </row>
    <row r="631" spans="8:33" s="51" customFormat="1">
      <c r="H631" s="71"/>
      <c r="K631" s="71"/>
      <c r="M631" s="86"/>
      <c r="P631" s="86"/>
      <c r="W631" s="92"/>
      <c r="X631" s="92"/>
      <c r="Y631" s="92"/>
      <c r="Z631" s="92"/>
      <c r="AA631" s="273"/>
      <c r="AB631" s="66"/>
      <c r="AD631" s="71"/>
      <c r="AE631" s="71"/>
      <c r="AF631" s="71"/>
      <c r="AG631" s="71"/>
    </row>
    <row r="632" spans="8:33" s="51" customFormat="1">
      <c r="H632" s="71"/>
      <c r="K632" s="71"/>
      <c r="M632" s="86"/>
      <c r="P632" s="86"/>
      <c r="W632" s="92"/>
      <c r="X632" s="92"/>
      <c r="Y632" s="92"/>
      <c r="Z632" s="92"/>
      <c r="AA632" s="273"/>
      <c r="AB632" s="66"/>
      <c r="AD632" s="71"/>
      <c r="AE632" s="71"/>
      <c r="AF632" s="71"/>
      <c r="AG632" s="71"/>
    </row>
    <row r="633" spans="8:33" s="51" customFormat="1">
      <c r="H633" s="71"/>
      <c r="K633" s="71"/>
      <c r="M633" s="86"/>
      <c r="P633" s="86"/>
      <c r="W633" s="92"/>
      <c r="X633" s="92"/>
      <c r="Y633" s="92"/>
      <c r="Z633" s="92"/>
      <c r="AA633" s="273"/>
      <c r="AB633" s="66"/>
      <c r="AD633" s="71"/>
      <c r="AE633" s="71"/>
      <c r="AF633" s="71"/>
      <c r="AG633" s="71"/>
    </row>
    <row r="634" spans="8:33" s="51" customFormat="1">
      <c r="H634" s="71"/>
      <c r="K634" s="71"/>
      <c r="M634" s="86"/>
      <c r="P634" s="86"/>
      <c r="W634" s="92"/>
      <c r="X634" s="92"/>
      <c r="Y634" s="92"/>
      <c r="Z634" s="92"/>
      <c r="AA634" s="273"/>
      <c r="AB634" s="66"/>
      <c r="AD634" s="71"/>
      <c r="AE634" s="71"/>
      <c r="AF634" s="71"/>
      <c r="AG634" s="71"/>
    </row>
    <row r="635" spans="8:33" s="51" customFormat="1">
      <c r="H635" s="71"/>
      <c r="K635" s="71"/>
      <c r="M635" s="86"/>
      <c r="P635" s="86"/>
      <c r="W635" s="92"/>
      <c r="X635" s="92"/>
      <c r="Y635" s="92"/>
      <c r="Z635" s="92"/>
      <c r="AA635" s="273"/>
      <c r="AB635" s="66"/>
      <c r="AD635" s="71"/>
      <c r="AE635" s="71"/>
      <c r="AF635" s="71"/>
      <c r="AG635" s="71"/>
    </row>
    <row r="636" spans="8:33" s="51" customFormat="1">
      <c r="H636" s="71"/>
      <c r="K636" s="71"/>
      <c r="M636" s="86"/>
      <c r="P636" s="86"/>
      <c r="W636" s="92"/>
      <c r="X636" s="92"/>
      <c r="Y636" s="92"/>
      <c r="Z636" s="92"/>
      <c r="AA636" s="273"/>
      <c r="AB636" s="66"/>
      <c r="AD636" s="71"/>
      <c r="AE636" s="71"/>
      <c r="AF636" s="71"/>
      <c r="AG636" s="71"/>
    </row>
    <row r="637" spans="8:33" s="51" customFormat="1">
      <c r="H637" s="71"/>
      <c r="K637" s="71"/>
      <c r="M637" s="86"/>
      <c r="P637" s="86"/>
      <c r="W637" s="92"/>
      <c r="X637" s="92"/>
      <c r="Y637" s="92"/>
      <c r="Z637" s="92"/>
      <c r="AA637" s="273"/>
      <c r="AB637" s="66"/>
      <c r="AD637" s="71"/>
      <c r="AE637" s="71"/>
      <c r="AF637" s="71"/>
      <c r="AG637" s="71"/>
    </row>
    <row r="638" spans="8:33" s="51" customFormat="1">
      <c r="H638" s="71"/>
      <c r="K638" s="71"/>
      <c r="M638" s="86"/>
      <c r="P638" s="86"/>
      <c r="W638" s="92"/>
      <c r="X638" s="92"/>
      <c r="Y638" s="92"/>
      <c r="Z638" s="92"/>
      <c r="AA638" s="273"/>
      <c r="AB638" s="66"/>
      <c r="AD638" s="71"/>
      <c r="AE638" s="71"/>
      <c r="AF638" s="71"/>
      <c r="AG638" s="71"/>
    </row>
    <row r="639" spans="8:33" s="51" customFormat="1">
      <c r="H639" s="71"/>
      <c r="K639" s="71"/>
      <c r="M639" s="86"/>
      <c r="P639" s="86"/>
      <c r="W639" s="92"/>
      <c r="X639" s="92"/>
      <c r="Y639" s="92"/>
      <c r="Z639" s="92"/>
      <c r="AA639" s="273"/>
      <c r="AB639" s="66"/>
      <c r="AD639" s="71"/>
      <c r="AE639" s="71"/>
      <c r="AF639" s="71"/>
      <c r="AG639" s="71"/>
    </row>
    <row r="640" spans="8:33" s="51" customFormat="1">
      <c r="H640" s="71"/>
      <c r="K640" s="71"/>
      <c r="M640" s="86"/>
      <c r="P640" s="86"/>
      <c r="W640" s="92"/>
      <c r="X640" s="92"/>
      <c r="Y640" s="92"/>
      <c r="Z640" s="92"/>
      <c r="AA640" s="273"/>
      <c r="AB640" s="66"/>
      <c r="AD640" s="71"/>
      <c r="AE640" s="71"/>
      <c r="AF640" s="71"/>
      <c r="AG640" s="71"/>
    </row>
    <row r="641" spans="8:33" s="51" customFormat="1">
      <c r="H641" s="71"/>
      <c r="K641" s="71"/>
      <c r="M641" s="86"/>
      <c r="P641" s="86"/>
      <c r="W641" s="92"/>
      <c r="X641" s="92"/>
      <c r="Y641" s="92"/>
      <c r="Z641" s="92"/>
      <c r="AA641" s="273"/>
      <c r="AB641" s="66"/>
      <c r="AD641" s="71"/>
      <c r="AE641" s="71"/>
      <c r="AF641" s="71"/>
      <c r="AG641" s="71"/>
    </row>
    <row r="642" spans="8:33" s="51" customFormat="1">
      <c r="H642" s="71"/>
      <c r="K642" s="71"/>
      <c r="M642" s="86"/>
      <c r="P642" s="86"/>
      <c r="W642" s="92"/>
      <c r="X642" s="92"/>
      <c r="Y642" s="92"/>
      <c r="Z642" s="92"/>
      <c r="AA642" s="273"/>
      <c r="AB642" s="66"/>
      <c r="AD642" s="71"/>
      <c r="AE642" s="71"/>
      <c r="AF642" s="71"/>
      <c r="AG642" s="71"/>
    </row>
    <row r="643" spans="8:33" s="51" customFormat="1">
      <c r="H643" s="71"/>
      <c r="K643" s="71"/>
      <c r="M643" s="86"/>
      <c r="P643" s="86"/>
      <c r="W643" s="92"/>
      <c r="X643" s="92"/>
      <c r="Y643" s="92"/>
      <c r="Z643" s="92"/>
      <c r="AA643" s="273"/>
      <c r="AB643" s="66"/>
      <c r="AD643" s="71"/>
      <c r="AE643" s="71"/>
      <c r="AF643" s="71"/>
      <c r="AG643" s="71"/>
    </row>
    <row r="644" spans="8:33" s="51" customFormat="1">
      <c r="H644" s="71"/>
      <c r="K644" s="71"/>
      <c r="M644" s="86"/>
      <c r="P644" s="86"/>
      <c r="W644" s="92"/>
      <c r="X644" s="92"/>
      <c r="Y644" s="92"/>
      <c r="Z644" s="92"/>
      <c r="AA644" s="273"/>
      <c r="AB644" s="66"/>
      <c r="AD644" s="71"/>
      <c r="AE644" s="71"/>
      <c r="AF644" s="71"/>
      <c r="AG644" s="71"/>
    </row>
    <row r="645" spans="8:33" s="51" customFormat="1">
      <c r="H645" s="71"/>
      <c r="K645" s="71"/>
      <c r="M645" s="86"/>
      <c r="P645" s="86"/>
      <c r="W645" s="92"/>
      <c r="X645" s="92"/>
      <c r="Y645" s="92"/>
      <c r="Z645" s="92"/>
      <c r="AA645" s="273"/>
      <c r="AB645" s="66"/>
      <c r="AD645" s="71"/>
      <c r="AE645" s="71"/>
      <c r="AF645" s="71"/>
      <c r="AG645" s="71"/>
    </row>
    <row r="646" spans="8:33" s="51" customFormat="1">
      <c r="H646" s="71"/>
      <c r="K646" s="71"/>
      <c r="M646" s="86"/>
      <c r="P646" s="86"/>
      <c r="W646" s="92"/>
      <c r="X646" s="92"/>
      <c r="Y646" s="92"/>
      <c r="Z646" s="92"/>
      <c r="AA646" s="273"/>
      <c r="AB646" s="66"/>
      <c r="AD646" s="71"/>
      <c r="AE646" s="71"/>
      <c r="AF646" s="71"/>
      <c r="AG646" s="71"/>
    </row>
    <row r="647" spans="8:33" s="51" customFormat="1">
      <c r="H647" s="71"/>
      <c r="K647" s="71"/>
      <c r="M647" s="86"/>
      <c r="P647" s="86"/>
      <c r="W647" s="92"/>
      <c r="X647" s="92"/>
      <c r="Y647" s="92"/>
      <c r="Z647" s="92"/>
      <c r="AA647" s="273"/>
      <c r="AB647" s="66"/>
      <c r="AD647" s="71"/>
      <c r="AE647" s="71"/>
      <c r="AF647" s="71"/>
      <c r="AG647" s="71"/>
    </row>
    <row r="648" spans="8:33" s="51" customFormat="1">
      <c r="H648" s="71"/>
      <c r="K648" s="71"/>
      <c r="M648" s="86"/>
      <c r="P648" s="86"/>
      <c r="W648" s="92"/>
      <c r="X648" s="92"/>
      <c r="Y648" s="92"/>
      <c r="Z648" s="92"/>
      <c r="AA648" s="273"/>
      <c r="AB648" s="66"/>
      <c r="AD648" s="71"/>
      <c r="AE648" s="71"/>
      <c r="AF648" s="71"/>
      <c r="AG648" s="71"/>
    </row>
    <row r="649" spans="8:33" s="51" customFormat="1">
      <c r="H649" s="71"/>
      <c r="K649" s="71"/>
      <c r="M649" s="86"/>
      <c r="P649" s="86"/>
      <c r="W649" s="92"/>
      <c r="X649" s="92"/>
      <c r="Y649" s="92"/>
      <c r="Z649" s="92"/>
      <c r="AA649" s="273"/>
      <c r="AB649" s="66"/>
      <c r="AD649" s="71"/>
      <c r="AE649" s="71"/>
      <c r="AF649" s="71"/>
      <c r="AG649" s="71"/>
    </row>
    <row r="650" spans="8:33" s="51" customFormat="1">
      <c r="H650" s="71"/>
      <c r="K650" s="71"/>
      <c r="M650" s="86"/>
      <c r="P650" s="86"/>
      <c r="W650" s="92"/>
      <c r="X650" s="92"/>
      <c r="Y650" s="92"/>
      <c r="Z650" s="92"/>
      <c r="AA650" s="273"/>
      <c r="AB650" s="66"/>
      <c r="AD650" s="71"/>
      <c r="AE650" s="71"/>
      <c r="AF650" s="71"/>
      <c r="AG650" s="71"/>
    </row>
    <row r="651" spans="8:33" s="51" customFormat="1">
      <c r="H651" s="71"/>
      <c r="K651" s="71"/>
      <c r="M651" s="86"/>
      <c r="P651" s="86"/>
      <c r="W651" s="92"/>
      <c r="X651" s="92"/>
      <c r="Y651" s="92"/>
      <c r="Z651" s="92"/>
      <c r="AA651" s="273"/>
      <c r="AB651" s="66"/>
      <c r="AD651" s="71"/>
      <c r="AE651" s="71"/>
      <c r="AF651" s="71"/>
      <c r="AG651" s="71"/>
    </row>
    <row r="652" spans="8:33" s="51" customFormat="1">
      <c r="H652" s="71"/>
      <c r="K652" s="71"/>
      <c r="M652" s="86"/>
      <c r="P652" s="86"/>
      <c r="W652" s="92"/>
      <c r="X652" s="92"/>
      <c r="Y652" s="92"/>
      <c r="Z652" s="92"/>
      <c r="AA652" s="273"/>
      <c r="AB652" s="66"/>
      <c r="AD652" s="71"/>
      <c r="AE652" s="71"/>
      <c r="AF652" s="71"/>
      <c r="AG652" s="71"/>
    </row>
    <row r="653" spans="8:33" s="51" customFormat="1">
      <c r="H653" s="71"/>
      <c r="K653" s="71"/>
      <c r="M653" s="86"/>
      <c r="P653" s="86"/>
      <c r="W653" s="92"/>
      <c r="X653" s="92"/>
      <c r="Y653" s="92"/>
      <c r="Z653" s="92"/>
      <c r="AA653" s="273"/>
      <c r="AB653" s="66"/>
      <c r="AD653" s="71"/>
      <c r="AE653" s="71"/>
      <c r="AF653" s="71"/>
      <c r="AG653" s="71"/>
    </row>
    <row r="654" spans="8:33" s="51" customFormat="1">
      <c r="H654" s="71"/>
      <c r="K654" s="71"/>
      <c r="M654" s="86"/>
      <c r="P654" s="86"/>
      <c r="W654" s="92"/>
      <c r="X654" s="92"/>
      <c r="Y654" s="92"/>
      <c r="Z654" s="92"/>
      <c r="AA654" s="273"/>
      <c r="AB654" s="66"/>
      <c r="AD654" s="71"/>
      <c r="AE654" s="71"/>
      <c r="AF654" s="71"/>
      <c r="AG654" s="71"/>
    </row>
    <row r="655" spans="8:33" s="51" customFormat="1">
      <c r="H655" s="71"/>
      <c r="K655" s="71"/>
      <c r="M655" s="86"/>
      <c r="P655" s="86"/>
      <c r="W655" s="92"/>
      <c r="X655" s="92"/>
      <c r="Y655" s="92"/>
      <c r="Z655" s="92"/>
      <c r="AA655" s="273"/>
      <c r="AB655" s="66"/>
      <c r="AD655" s="71"/>
      <c r="AE655" s="71"/>
      <c r="AF655" s="71"/>
      <c r="AG655" s="71"/>
    </row>
    <row r="656" spans="8:33" s="51" customFormat="1">
      <c r="H656" s="71"/>
      <c r="K656" s="71"/>
      <c r="M656" s="86"/>
      <c r="P656" s="86"/>
      <c r="W656" s="92"/>
      <c r="X656" s="92"/>
      <c r="Y656" s="92"/>
      <c r="Z656" s="92"/>
      <c r="AA656" s="273"/>
      <c r="AB656" s="66"/>
      <c r="AD656" s="71"/>
      <c r="AE656" s="71"/>
      <c r="AF656" s="71"/>
      <c r="AG656" s="71"/>
    </row>
    <row r="657" spans="8:33" s="51" customFormat="1">
      <c r="H657" s="71"/>
      <c r="K657" s="71"/>
      <c r="M657" s="86"/>
      <c r="P657" s="86"/>
      <c r="W657" s="92"/>
      <c r="X657" s="92"/>
      <c r="Y657" s="92"/>
      <c r="Z657" s="92"/>
      <c r="AA657" s="273"/>
      <c r="AB657" s="66"/>
      <c r="AD657" s="71"/>
      <c r="AE657" s="71"/>
      <c r="AF657" s="71"/>
      <c r="AG657" s="71"/>
    </row>
    <row r="658" spans="8:33" s="51" customFormat="1">
      <c r="H658" s="71"/>
      <c r="K658" s="71"/>
      <c r="M658" s="86"/>
      <c r="P658" s="86"/>
      <c r="W658" s="92"/>
      <c r="X658" s="92"/>
      <c r="Y658" s="92"/>
      <c r="Z658" s="92"/>
      <c r="AA658" s="273"/>
      <c r="AB658" s="66"/>
      <c r="AD658" s="71"/>
      <c r="AE658" s="71"/>
      <c r="AF658" s="71"/>
      <c r="AG658" s="71"/>
    </row>
    <row r="659" spans="8:33" s="51" customFormat="1">
      <c r="H659" s="71"/>
      <c r="K659" s="71"/>
      <c r="M659" s="86"/>
      <c r="P659" s="86"/>
      <c r="W659" s="92"/>
      <c r="X659" s="92"/>
      <c r="Y659" s="92"/>
      <c r="Z659" s="92"/>
      <c r="AA659" s="273"/>
      <c r="AB659" s="66"/>
      <c r="AD659" s="71"/>
      <c r="AE659" s="71"/>
      <c r="AF659" s="71"/>
      <c r="AG659" s="71"/>
    </row>
    <row r="660" spans="8:33" s="51" customFormat="1">
      <c r="H660" s="71"/>
      <c r="K660" s="71"/>
      <c r="M660" s="86"/>
      <c r="P660" s="86"/>
      <c r="W660" s="92"/>
      <c r="X660" s="92"/>
      <c r="Y660" s="92"/>
      <c r="Z660" s="92"/>
      <c r="AA660" s="273"/>
      <c r="AB660" s="66"/>
      <c r="AD660" s="71"/>
      <c r="AE660" s="71"/>
      <c r="AF660" s="71"/>
      <c r="AG660" s="71"/>
    </row>
    <row r="661" spans="8:33" s="51" customFormat="1">
      <c r="H661" s="71"/>
      <c r="K661" s="71"/>
      <c r="M661" s="86"/>
      <c r="P661" s="86"/>
      <c r="W661" s="92"/>
      <c r="X661" s="92"/>
      <c r="Y661" s="92"/>
      <c r="Z661" s="92"/>
      <c r="AA661" s="273"/>
      <c r="AB661" s="66"/>
      <c r="AD661" s="71"/>
      <c r="AE661" s="71"/>
      <c r="AF661" s="71"/>
      <c r="AG661" s="71"/>
    </row>
    <row r="662" spans="8:33" s="51" customFormat="1">
      <c r="H662" s="71"/>
      <c r="K662" s="71"/>
      <c r="M662" s="86"/>
      <c r="P662" s="86"/>
      <c r="W662" s="92"/>
      <c r="X662" s="92"/>
      <c r="Y662" s="92"/>
      <c r="Z662" s="92"/>
      <c r="AA662" s="273"/>
      <c r="AB662" s="66"/>
      <c r="AD662" s="71"/>
      <c r="AE662" s="71"/>
      <c r="AF662" s="71"/>
      <c r="AG662" s="71"/>
    </row>
    <row r="663" spans="8:33" s="51" customFormat="1">
      <c r="H663" s="71"/>
      <c r="K663" s="71"/>
      <c r="M663" s="86"/>
      <c r="P663" s="86"/>
      <c r="W663" s="92"/>
      <c r="X663" s="92"/>
      <c r="Y663" s="92"/>
      <c r="Z663" s="92"/>
      <c r="AA663" s="273"/>
      <c r="AB663" s="66"/>
      <c r="AD663" s="71"/>
      <c r="AE663" s="71"/>
      <c r="AF663" s="71"/>
      <c r="AG663" s="71"/>
    </row>
    <row r="664" spans="8:33" s="51" customFormat="1">
      <c r="H664" s="71"/>
      <c r="K664" s="71"/>
      <c r="M664" s="86"/>
      <c r="P664" s="86"/>
      <c r="W664" s="92"/>
      <c r="X664" s="92"/>
      <c r="Y664" s="92"/>
      <c r="Z664" s="92"/>
      <c r="AA664" s="273"/>
      <c r="AB664" s="66"/>
      <c r="AD664" s="71"/>
      <c r="AE664" s="71"/>
      <c r="AF664" s="71"/>
      <c r="AG664" s="71"/>
    </row>
    <row r="665" spans="8:33" s="51" customFormat="1">
      <c r="H665" s="71"/>
      <c r="K665" s="71"/>
      <c r="M665" s="86"/>
      <c r="P665" s="86"/>
      <c r="W665" s="92"/>
      <c r="X665" s="92"/>
      <c r="Y665" s="92"/>
      <c r="Z665" s="92"/>
      <c r="AA665" s="273"/>
      <c r="AB665" s="66"/>
      <c r="AD665" s="71"/>
      <c r="AE665" s="71"/>
      <c r="AF665" s="71"/>
      <c r="AG665" s="71"/>
    </row>
    <row r="666" spans="8:33" s="51" customFormat="1">
      <c r="H666" s="71"/>
      <c r="K666" s="71"/>
      <c r="M666" s="86"/>
      <c r="P666" s="86"/>
      <c r="W666" s="92"/>
      <c r="X666" s="92"/>
      <c r="Y666" s="92"/>
      <c r="Z666" s="92"/>
      <c r="AA666" s="273"/>
      <c r="AB666" s="66"/>
      <c r="AD666" s="71"/>
      <c r="AE666" s="71"/>
      <c r="AF666" s="71"/>
      <c r="AG666" s="71"/>
    </row>
    <row r="667" spans="8:33" s="51" customFormat="1">
      <c r="H667" s="71"/>
      <c r="K667" s="71"/>
      <c r="M667" s="86"/>
      <c r="P667" s="86"/>
      <c r="W667" s="92"/>
      <c r="X667" s="92"/>
      <c r="Y667" s="92"/>
      <c r="Z667" s="92"/>
      <c r="AA667" s="273"/>
      <c r="AB667" s="66"/>
      <c r="AD667" s="71"/>
      <c r="AE667" s="71"/>
      <c r="AF667" s="71"/>
      <c r="AG667" s="71"/>
    </row>
    <row r="668" spans="8:33" s="51" customFormat="1">
      <c r="H668" s="71"/>
      <c r="K668" s="71"/>
      <c r="M668" s="86"/>
      <c r="P668" s="86"/>
      <c r="W668" s="92"/>
      <c r="X668" s="92"/>
      <c r="Y668" s="92"/>
      <c r="Z668" s="92"/>
      <c r="AA668" s="273"/>
      <c r="AB668" s="66"/>
      <c r="AD668" s="71"/>
      <c r="AE668" s="71"/>
      <c r="AF668" s="71"/>
      <c r="AG668" s="71"/>
    </row>
    <row r="669" spans="8:33" s="51" customFormat="1">
      <c r="H669" s="71"/>
      <c r="K669" s="71"/>
      <c r="M669" s="86"/>
      <c r="P669" s="86"/>
      <c r="W669" s="92"/>
      <c r="X669" s="92"/>
      <c r="Y669" s="92"/>
      <c r="Z669" s="92"/>
      <c r="AA669" s="273"/>
      <c r="AB669" s="66"/>
      <c r="AD669" s="71"/>
      <c r="AE669" s="71"/>
      <c r="AF669" s="71"/>
      <c r="AG669" s="71"/>
    </row>
    <row r="670" spans="8:33" s="51" customFormat="1">
      <c r="H670" s="71"/>
      <c r="K670" s="71"/>
      <c r="M670" s="86"/>
      <c r="P670" s="86"/>
      <c r="W670" s="92"/>
      <c r="X670" s="92"/>
      <c r="Y670" s="92"/>
      <c r="Z670" s="92"/>
      <c r="AA670" s="273"/>
      <c r="AB670" s="66"/>
      <c r="AD670" s="71"/>
      <c r="AE670" s="71"/>
      <c r="AF670" s="71"/>
      <c r="AG670" s="71"/>
    </row>
    <row r="671" spans="8:33" s="51" customFormat="1">
      <c r="H671" s="71"/>
      <c r="K671" s="71"/>
      <c r="M671" s="86"/>
      <c r="P671" s="86"/>
      <c r="W671" s="92"/>
      <c r="X671" s="92"/>
      <c r="Y671" s="92"/>
      <c r="Z671" s="92"/>
      <c r="AA671" s="273"/>
      <c r="AB671" s="66"/>
      <c r="AD671" s="71"/>
      <c r="AE671" s="71"/>
      <c r="AF671" s="71"/>
      <c r="AG671" s="71"/>
    </row>
    <row r="672" spans="8:33" s="51" customFormat="1">
      <c r="H672" s="71"/>
      <c r="K672" s="71"/>
      <c r="M672" s="86"/>
      <c r="P672" s="86"/>
      <c r="W672" s="92"/>
      <c r="X672" s="92"/>
      <c r="Y672" s="92"/>
      <c r="Z672" s="92"/>
      <c r="AA672" s="273"/>
      <c r="AB672" s="66"/>
      <c r="AD672" s="71"/>
      <c r="AE672" s="71"/>
      <c r="AF672" s="71"/>
      <c r="AG672" s="71"/>
    </row>
    <row r="673" spans="8:33" s="51" customFormat="1">
      <c r="H673" s="71"/>
      <c r="K673" s="71"/>
      <c r="M673" s="86"/>
      <c r="P673" s="86"/>
      <c r="W673" s="92"/>
      <c r="X673" s="92"/>
      <c r="Y673" s="92"/>
      <c r="Z673" s="92"/>
      <c r="AA673" s="273"/>
      <c r="AB673" s="66"/>
      <c r="AD673" s="71"/>
      <c r="AE673" s="71"/>
      <c r="AF673" s="71"/>
      <c r="AG673" s="71"/>
    </row>
    <row r="674" spans="8:33" s="51" customFormat="1">
      <c r="H674" s="71"/>
      <c r="K674" s="71"/>
      <c r="M674" s="86"/>
      <c r="P674" s="86"/>
      <c r="W674" s="92"/>
      <c r="X674" s="92"/>
      <c r="Y674" s="92"/>
      <c r="Z674" s="92"/>
      <c r="AA674" s="273"/>
      <c r="AB674" s="66"/>
      <c r="AD674" s="71"/>
      <c r="AE674" s="71"/>
      <c r="AF674" s="71"/>
      <c r="AG674" s="71"/>
    </row>
    <row r="675" spans="8:33" s="51" customFormat="1">
      <c r="H675" s="71"/>
      <c r="K675" s="71"/>
      <c r="M675" s="86"/>
      <c r="P675" s="86"/>
      <c r="W675" s="92"/>
      <c r="X675" s="92"/>
      <c r="Y675" s="92"/>
      <c r="Z675" s="92"/>
      <c r="AA675" s="273"/>
      <c r="AB675" s="66"/>
      <c r="AD675" s="71"/>
      <c r="AE675" s="71"/>
      <c r="AF675" s="71"/>
      <c r="AG675" s="71"/>
    </row>
    <row r="676" spans="8:33" s="51" customFormat="1">
      <c r="H676" s="71"/>
      <c r="K676" s="71"/>
      <c r="M676" s="86"/>
      <c r="P676" s="86"/>
      <c r="W676" s="92"/>
      <c r="X676" s="92"/>
      <c r="Y676" s="92"/>
      <c r="Z676" s="92"/>
      <c r="AA676" s="273"/>
      <c r="AB676" s="66"/>
      <c r="AD676" s="71"/>
      <c r="AE676" s="71"/>
      <c r="AF676" s="71"/>
      <c r="AG676" s="71"/>
    </row>
    <row r="677" spans="8:33" s="51" customFormat="1">
      <c r="H677" s="71"/>
      <c r="K677" s="71"/>
      <c r="M677" s="86"/>
      <c r="P677" s="86"/>
      <c r="W677" s="92"/>
      <c r="X677" s="92"/>
      <c r="Y677" s="92"/>
      <c r="Z677" s="92"/>
      <c r="AA677" s="273"/>
      <c r="AB677" s="66"/>
      <c r="AD677" s="71"/>
      <c r="AE677" s="71"/>
      <c r="AF677" s="71"/>
      <c r="AG677" s="71"/>
    </row>
    <row r="678" spans="8:33" s="51" customFormat="1">
      <c r="H678" s="71"/>
      <c r="K678" s="71"/>
      <c r="M678" s="86"/>
      <c r="P678" s="86"/>
      <c r="W678" s="92"/>
      <c r="X678" s="92"/>
      <c r="Y678" s="92"/>
      <c r="Z678" s="92"/>
      <c r="AA678" s="273"/>
      <c r="AB678" s="66"/>
      <c r="AD678" s="71"/>
      <c r="AE678" s="71"/>
      <c r="AF678" s="71"/>
      <c r="AG678" s="71"/>
    </row>
    <row r="679" spans="8:33" s="51" customFormat="1">
      <c r="H679" s="71"/>
      <c r="K679" s="71"/>
      <c r="M679" s="86"/>
      <c r="P679" s="86"/>
      <c r="W679" s="92"/>
      <c r="X679" s="92"/>
      <c r="Y679" s="92"/>
      <c r="Z679" s="92"/>
      <c r="AA679" s="273"/>
      <c r="AB679" s="66"/>
      <c r="AD679" s="71"/>
      <c r="AE679" s="71"/>
      <c r="AF679" s="71"/>
      <c r="AG679" s="71"/>
    </row>
    <row r="680" spans="8:33" s="51" customFormat="1">
      <c r="H680" s="71"/>
      <c r="K680" s="71"/>
      <c r="M680" s="86"/>
      <c r="P680" s="86"/>
      <c r="W680" s="92"/>
      <c r="X680" s="92"/>
      <c r="Y680" s="92"/>
      <c r="Z680" s="92"/>
      <c r="AA680" s="273"/>
      <c r="AB680" s="66"/>
      <c r="AD680" s="71"/>
      <c r="AE680" s="71"/>
      <c r="AF680" s="71"/>
      <c r="AG680" s="71"/>
    </row>
    <row r="681" spans="8:33" s="51" customFormat="1">
      <c r="H681" s="71"/>
      <c r="K681" s="71"/>
      <c r="M681" s="86"/>
      <c r="P681" s="86"/>
      <c r="W681" s="92"/>
      <c r="X681" s="92"/>
      <c r="Y681" s="92"/>
      <c r="Z681" s="92"/>
      <c r="AA681" s="273"/>
      <c r="AB681" s="66"/>
      <c r="AD681" s="71"/>
      <c r="AE681" s="71"/>
      <c r="AF681" s="71"/>
      <c r="AG681" s="71"/>
    </row>
    <row r="682" spans="8:33" s="51" customFormat="1">
      <c r="H682" s="71"/>
      <c r="K682" s="71"/>
      <c r="M682" s="86"/>
      <c r="P682" s="86"/>
      <c r="W682" s="92"/>
      <c r="X682" s="92"/>
      <c r="Y682" s="92"/>
      <c r="Z682" s="92"/>
      <c r="AA682" s="273"/>
      <c r="AB682" s="66"/>
      <c r="AD682" s="71"/>
      <c r="AE682" s="71"/>
      <c r="AF682" s="71"/>
      <c r="AG682" s="71"/>
    </row>
    <row r="683" spans="8:33" s="51" customFormat="1">
      <c r="H683" s="71"/>
      <c r="K683" s="71"/>
      <c r="M683" s="86"/>
      <c r="P683" s="86"/>
      <c r="W683" s="92"/>
      <c r="X683" s="92"/>
      <c r="Y683" s="92"/>
      <c r="Z683" s="92"/>
      <c r="AA683" s="273"/>
      <c r="AB683" s="66"/>
      <c r="AD683" s="71"/>
      <c r="AE683" s="71"/>
      <c r="AF683" s="71"/>
      <c r="AG683" s="71"/>
    </row>
    <row r="684" spans="8:33" s="51" customFormat="1">
      <c r="H684" s="71"/>
      <c r="K684" s="71"/>
      <c r="M684" s="86"/>
      <c r="P684" s="86"/>
      <c r="W684" s="92"/>
      <c r="X684" s="92"/>
      <c r="Y684" s="92"/>
      <c r="Z684" s="92"/>
      <c r="AA684" s="273"/>
      <c r="AB684" s="66"/>
      <c r="AD684" s="71"/>
      <c r="AE684" s="71"/>
      <c r="AF684" s="71"/>
      <c r="AG684" s="71"/>
    </row>
    <row r="685" spans="8:33" s="51" customFormat="1">
      <c r="H685" s="71"/>
      <c r="K685" s="71"/>
      <c r="M685" s="86"/>
      <c r="P685" s="86"/>
      <c r="W685" s="92"/>
      <c r="X685" s="92"/>
      <c r="Y685" s="92"/>
      <c r="Z685" s="92"/>
      <c r="AA685" s="273"/>
      <c r="AB685" s="66"/>
      <c r="AD685" s="71"/>
      <c r="AE685" s="71"/>
      <c r="AF685" s="71"/>
      <c r="AG685" s="71"/>
    </row>
    <row r="686" spans="8:33" s="51" customFormat="1">
      <c r="H686" s="71"/>
      <c r="K686" s="71"/>
      <c r="M686" s="86"/>
      <c r="P686" s="86"/>
      <c r="W686" s="92"/>
      <c r="X686" s="92"/>
      <c r="Y686" s="92"/>
      <c r="Z686" s="92"/>
      <c r="AA686" s="273"/>
      <c r="AB686" s="66"/>
      <c r="AD686" s="71"/>
      <c r="AE686" s="71"/>
      <c r="AF686" s="71"/>
      <c r="AG686" s="71"/>
    </row>
    <row r="687" spans="8:33" s="51" customFormat="1">
      <c r="H687" s="71"/>
      <c r="K687" s="71"/>
      <c r="M687" s="86"/>
      <c r="P687" s="86"/>
      <c r="W687" s="92"/>
      <c r="X687" s="92"/>
      <c r="Y687" s="92"/>
      <c r="Z687" s="92"/>
      <c r="AA687" s="273"/>
      <c r="AB687" s="66"/>
      <c r="AD687" s="71"/>
      <c r="AE687" s="71"/>
      <c r="AF687" s="71"/>
      <c r="AG687" s="71"/>
    </row>
    <row r="688" spans="8:33" s="51" customFormat="1">
      <c r="H688" s="71"/>
      <c r="K688" s="71"/>
      <c r="M688" s="86"/>
      <c r="P688" s="86"/>
      <c r="W688" s="92"/>
      <c r="X688" s="92"/>
      <c r="Y688" s="92"/>
      <c r="Z688" s="92"/>
      <c r="AA688" s="273"/>
      <c r="AB688" s="66"/>
      <c r="AD688" s="71"/>
      <c r="AE688" s="71"/>
      <c r="AF688" s="71"/>
      <c r="AG688" s="71"/>
    </row>
    <row r="689" spans="8:33" s="51" customFormat="1">
      <c r="H689" s="71"/>
      <c r="K689" s="71"/>
      <c r="M689" s="86"/>
      <c r="P689" s="86"/>
      <c r="W689" s="92"/>
      <c r="X689" s="92"/>
      <c r="Y689" s="92"/>
      <c r="Z689" s="92"/>
      <c r="AA689" s="273"/>
      <c r="AB689" s="66"/>
      <c r="AD689" s="71"/>
      <c r="AE689" s="71"/>
      <c r="AF689" s="71"/>
      <c r="AG689" s="71"/>
    </row>
    <row r="690" spans="8:33" s="51" customFormat="1">
      <c r="H690" s="71"/>
      <c r="K690" s="71"/>
      <c r="M690" s="86"/>
      <c r="P690" s="86"/>
      <c r="W690" s="92"/>
      <c r="X690" s="92"/>
      <c r="Y690" s="92"/>
      <c r="Z690" s="92"/>
      <c r="AA690" s="273"/>
      <c r="AB690" s="66"/>
      <c r="AD690" s="71"/>
      <c r="AE690" s="71"/>
      <c r="AF690" s="71"/>
      <c r="AG690" s="71"/>
    </row>
    <row r="691" spans="8:33" s="51" customFormat="1">
      <c r="H691" s="71"/>
      <c r="K691" s="71"/>
      <c r="M691" s="86"/>
      <c r="P691" s="86"/>
      <c r="W691" s="92"/>
      <c r="X691" s="92"/>
      <c r="Y691" s="92"/>
      <c r="Z691" s="92"/>
      <c r="AA691" s="273"/>
      <c r="AB691" s="66"/>
      <c r="AD691" s="71"/>
      <c r="AE691" s="71"/>
      <c r="AF691" s="71"/>
      <c r="AG691" s="71"/>
    </row>
    <row r="692" spans="8:33" s="51" customFormat="1">
      <c r="H692" s="71"/>
      <c r="K692" s="71"/>
      <c r="M692" s="86"/>
      <c r="P692" s="86"/>
      <c r="W692" s="92"/>
      <c r="X692" s="92"/>
      <c r="Y692" s="92"/>
      <c r="Z692" s="92"/>
      <c r="AA692" s="273"/>
      <c r="AB692" s="66"/>
      <c r="AD692" s="71"/>
      <c r="AE692" s="71"/>
      <c r="AF692" s="71"/>
      <c r="AG692" s="71"/>
    </row>
    <row r="693" spans="8:33" s="51" customFormat="1">
      <c r="H693" s="71"/>
      <c r="K693" s="71"/>
      <c r="M693" s="86"/>
      <c r="P693" s="86"/>
      <c r="W693" s="92"/>
      <c r="X693" s="92"/>
      <c r="Y693" s="92"/>
      <c r="Z693" s="92"/>
      <c r="AA693" s="273"/>
      <c r="AB693" s="66"/>
      <c r="AD693" s="71"/>
      <c r="AE693" s="71"/>
      <c r="AF693" s="71"/>
      <c r="AG693" s="71"/>
    </row>
    <row r="694" spans="8:33" s="51" customFormat="1">
      <c r="H694" s="71"/>
      <c r="K694" s="71"/>
      <c r="M694" s="86"/>
      <c r="P694" s="86"/>
      <c r="W694" s="92"/>
      <c r="X694" s="92"/>
      <c r="Y694" s="92"/>
      <c r="Z694" s="92"/>
      <c r="AA694" s="273"/>
      <c r="AB694" s="66"/>
      <c r="AD694" s="71"/>
      <c r="AE694" s="71"/>
      <c r="AF694" s="71"/>
      <c r="AG694" s="71"/>
    </row>
    <row r="695" spans="8:33" s="51" customFormat="1">
      <c r="H695" s="71"/>
      <c r="K695" s="71"/>
      <c r="M695" s="86"/>
      <c r="P695" s="86"/>
      <c r="W695" s="92"/>
      <c r="X695" s="92"/>
      <c r="Y695" s="92"/>
      <c r="Z695" s="92"/>
      <c r="AA695" s="273"/>
      <c r="AB695" s="66"/>
      <c r="AD695" s="71"/>
      <c r="AE695" s="71"/>
      <c r="AF695" s="71"/>
      <c r="AG695" s="71"/>
    </row>
    <row r="696" spans="8:33" s="51" customFormat="1">
      <c r="H696" s="71"/>
      <c r="K696" s="71"/>
      <c r="M696" s="86"/>
      <c r="P696" s="86"/>
      <c r="W696" s="92"/>
      <c r="X696" s="92"/>
      <c r="Y696" s="92"/>
      <c r="Z696" s="92"/>
      <c r="AA696" s="273"/>
      <c r="AB696" s="66"/>
      <c r="AD696" s="71"/>
      <c r="AE696" s="71"/>
      <c r="AF696" s="71"/>
      <c r="AG696" s="71"/>
    </row>
    <row r="697" spans="8:33" s="51" customFormat="1">
      <c r="H697" s="71"/>
      <c r="K697" s="71"/>
      <c r="M697" s="86"/>
      <c r="P697" s="86"/>
      <c r="W697" s="92"/>
      <c r="X697" s="92"/>
      <c r="Y697" s="92"/>
      <c r="Z697" s="92"/>
      <c r="AA697" s="273"/>
      <c r="AB697" s="66"/>
      <c r="AD697" s="71"/>
      <c r="AE697" s="71"/>
      <c r="AF697" s="71"/>
      <c r="AG697" s="71"/>
    </row>
    <row r="698" spans="8:33" s="51" customFormat="1">
      <c r="H698" s="71"/>
      <c r="K698" s="71"/>
      <c r="M698" s="86"/>
      <c r="P698" s="86"/>
      <c r="W698" s="92"/>
      <c r="X698" s="92"/>
      <c r="Y698" s="92"/>
      <c r="Z698" s="92"/>
      <c r="AA698" s="273"/>
      <c r="AB698" s="66"/>
      <c r="AD698" s="71"/>
      <c r="AE698" s="71"/>
      <c r="AF698" s="71"/>
      <c r="AG698" s="71"/>
    </row>
    <row r="699" spans="8:33" s="51" customFormat="1">
      <c r="H699" s="71"/>
      <c r="K699" s="71"/>
      <c r="M699" s="86"/>
      <c r="P699" s="86"/>
      <c r="W699" s="92"/>
      <c r="X699" s="92"/>
      <c r="Y699" s="92"/>
      <c r="Z699" s="92"/>
      <c r="AA699" s="273"/>
      <c r="AB699" s="66"/>
      <c r="AD699" s="71"/>
      <c r="AE699" s="71"/>
      <c r="AF699" s="71"/>
      <c r="AG699" s="71"/>
    </row>
    <row r="700" spans="8:33" s="51" customFormat="1">
      <c r="H700" s="71"/>
      <c r="K700" s="71"/>
      <c r="M700" s="86"/>
      <c r="P700" s="86"/>
      <c r="W700" s="92"/>
      <c r="X700" s="92"/>
      <c r="Y700" s="92"/>
      <c r="Z700" s="92"/>
      <c r="AA700" s="273"/>
      <c r="AB700" s="66"/>
      <c r="AD700" s="71"/>
      <c r="AE700" s="71"/>
      <c r="AF700" s="71"/>
      <c r="AG700" s="71"/>
    </row>
    <row r="701" spans="8:33" s="51" customFormat="1">
      <c r="H701" s="71"/>
      <c r="K701" s="71"/>
      <c r="M701" s="86"/>
      <c r="P701" s="86"/>
      <c r="W701" s="92"/>
      <c r="X701" s="92"/>
      <c r="Y701" s="92"/>
      <c r="Z701" s="92"/>
      <c r="AA701" s="273"/>
      <c r="AB701" s="66"/>
      <c r="AD701" s="71"/>
      <c r="AE701" s="71"/>
      <c r="AF701" s="71"/>
      <c r="AG701" s="71"/>
    </row>
    <row r="702" spans="8:33" s="51" customFormat="1">
      <c r="H702" s="71"/>
      <c r="K702" s="71"/>
      <c r="M702" s="86"/>
      <c r="P702" s="86"/>
      <c r="W702" s="92"/>
      <c r="X702" s="92"/>
      <c r="Y702" s="92"/>
      <c r="Z702" s="92"/>
      <c r="AA702" s="273"/>
      <c r="AB702" s="66"/>
      <c r="AD702" s="71"/>
      <c r="AE702" s="71"/>
      <c r="AF702" s="71"/>
      <c r="AG702" s="71"/>
    </row>
    <row r="703" spans="8:33" s="51" customFormat="1">
      <c r="H703" s="71"/>
      <c r="K703" s="71"/>
      <c r="M703" s="86"/>
      <c r="P703" s="86"/>
      <c r="W703" s="92"/>
      <c r="X703" s="92"/>
      <c r="Y703" s="92"/>
      <c r="Z703" s="92"/>
      <c r="AA703" s="273"/>
      <c r="AB703" s="66"/>
      <c r="AD703" s="71"/>
      <c r="AE703" s="71"/>
      <c r="AF703" s="71"/>
      <c r="AG703" s="71"/>
    </row>
    <row r="704" spans="8:33" s="51" customFormat="1">
      <c r="H704" s="71"/>
      <c r="K704" s="71"/>
      <c r="M704" s="86"/>
      <c r="P704" s="86"/>
      <c r="W704" s="92"/>
      <c r="X704" s="92"/>
      <c r="Y704" s="92"/>
      <c r="Z704" s="92"/>
      <c r="AA704" s="273"/>
      <c r="AB704" s="66"/>
      <c r="AD704" s="71"/>
      <c r="AE704" s="71"/>
      <c r="AF704" s="71"/>
      <c r="AG704" s="71"/>
    </row>
    <row r="705" spans="8:33" s="51" customFormat="1">
      <c r="H705" s="71"/>
      <c r="K705" s="71"/>
      <c r="M705" s="86"/>
      <c r="P705" s="86"/>
      <c r="W705" s="92"/>
      <c r="X705" s="92"/>
      <c r="Y705" s="92"/>
      <c r="Z705" s="92"/>
      <c r="AA705" s="273"/>
      <c r="AB705" s="66"/>
      <c r="AD705" s="71"/>
      <c r="AE705" s="71"/>
      <c r="AF705" s="71"/>
      <c r="AG705" s="71"/>
    </row>
    <row r="706" spans="8:33" s="51" customFormat="1">
      <c r="H706" s="71"/>
      <c r="K706" s="71"/>
      <c r="M706" s="86"/>
      <c r="P706" s="86"/>
      <c r="W706" s="92"/>
      <c r="X706" s="92"/>
      <c r="Y706" s="92"/>
      <c r="Z706" s="92"/>
      <c r="AA706" s="273"/>
      <c r="AB706" s="66"/>
      <c r="AD706" s="71"/>
      <c r="AE706" s="71"/>
      <c r="AF706" s="71"/>
      <c r="AG706" s="71"/>
    </row>
    <row r="707" spans="8:33" s="51" customFormat="1">
      <c r="H707" s="71"/>
      <c r="K707" s="71"/>
      <c r="M707" s="86"/>
      <c r="P707" s="86"/>
      <c r="W707" s="92"/>
      <c r="X707" s="92"/>
      <c r="Y707" s="92"/>
      <c r="Z707" s="92"/>
      <c r="AA707" s="273"/>
      <c r="AB707" s="66"/>
      <c r="AD707" s="71"/>
      <c r="AE707" s="71"/>
      <c r="AF707" s="71"/>
      <c r="AG707" s="71"/>
    </row>
    <row r="708" spans="8:33" s="51" customFormat="1">
      <c r="H708" s="71"/>
      <c r="K708" s="71"/>
      <c r="M708" s="86"/>
      <c r="P708" s="86"/>
      <c r="W708" s="92"/>
      <c r="X708" s="92"/>
      <c r="Y708" s="92"/>
      <c r="Z708" s="92"/>
      <c r="AA708" s="273"/>
      <c r="AB708" s="66"/>
      <c r="AD708" s="71"/>
      <c r="AE708" s="71"/>
      <c r="AF708" s="71"/>
      <c r="AG708" s="71"/>
    </row>
    <row r="709" spans="8:33" s="51" customFormat="1">
      <c r="H709" s="71"/>
      <c r="K709" s="71"/>
      <c r="M709" s="86"/>
      <c r="P709" s="86"/>
      <c r="W709" s="92"/>
      <c r="X709" s="92"/>
      <c r="Y709" s="92"/>
      <c r="Z709" s="92"/>
      <c r="AA709" s="273"/>
      <c r="AB709" s="66"/>
      <c r="AD709" s="71"/>
      <c r="AE709" s="71"/>
      <c r="AF709" s="71"/>
      <c r="AG709" s="71"/>
    </row>
    <row r="710" spans="8:33" s="51" customFormat="1">
      <c r="H710" s="71"/>
      <c r="K710" s="71"/>
      <c r="M710" s="86"/>
      <c r="P710" s="86"/>
      <c r="W710" s="92"/>
      <c r="X710" s="92"/>
      <c r="Y710" s="92"/>
      <c r="Z710" s="92"/>
      <c r="AA710" s="273"/>
      <c r="AB710" s="66"/>
      <c r="AD710" s="71"/>
      <c r="AE710" s="71"/>
      <c r="AF710" s="71"/>
      <c r="AG710" s="71"/>
    </row>
    <row r="711" spans="8:33" s="51" customFormat="1">
      <c r="H711" s="71"/>
      <c r="K711" s="71"/>
      <c r="M711" s="86"/>
      <c r="P711" s="86"/>
      <c r="W711" s="92"/>
      <c r="X711" s="92"/>
      <c r="Y711" s="92"/>
      <c r="Z711" s="92"/>
      <c r="AA711" s="273"/>
      <c r="AB711" s="66"/>
      <c r="AD711" s="71"/>
      <c r="AE711" s="71"/>
      <c r="AF711" s="71"/>
      <c r="AG711" s="71"/>
    </row>
    <row r="712" spans="8:33" s="51" customFormat="1">
      <c r="H712" s="71"/>
      <c r="K712" s="71"/>
      <c r="M712" s="86"/>
      <c r="P712" s="86"/>
      <c r="W712" s="92"/>
      <c r="X712" s="92"/>
      <c r="Y712" s="92"/>
      <c r="Z712" s="92"/>
      <c r="AA712" s="273"/>
      <c r="AB712" s="66"/>
      <c r="AD712" s="71"/>
      <c r="AE712" s="71"/>
      <c r="AF712" s="71"/>
      <c r="AG712" s="71"/>
    </row>
    <row r="713" spans="8:33" s="51" customFormat="1">
      <c r="H713" s="71"/>
      <c r="K713" s="71"/>
      <c r="M713" s="86"/>
      <c r="P713" s="86"/>
      <c r="W713" s="92"/>
      <c r="X713" s="92"/>
      <c r="Y713" s="92"/>
      <c r="Z713" s="92"/>
      <c r="AA713" s="273"/>
      <c r="AB713" s="66"/>
      <c r="AD713" s="71"/>
      <c r="AE713" s="71"/>
      <c r="AF713" s="71"/>
      <c r="AG713" s="71"/>
    </row>
    <row r="714" spans="8:33" s="51" customFormat="1">
      <c r="H714" s="71"/>
      <c r="K714" s="71"/>
      <c r="M714" s="86"/>
      <c r="P714" s="86"/>
      <c r="W714" s="92"/>
      <c r="X714" s="92"/>
      <c r="Y714" s="92"/>
      <c r="Z714" s="92"/>
      <c r="AA714" s="273"/>
      <c r="AB714" s="66"/>
      <c r="AD714" s="71"/>
      <c r="AE714" s="71"/>
      <c r="AF714" s="71"/>
      <c r="AG714" s="71"/>
    </row>
    <row r="715" spans="8:33" s="51" customFormat="1">
      <c r="H715" s="71"/>
      <c r="K715" s="71"/>
      <c r="M715" s="86"/>
      <c r="P715" s="86"/>
      <c r="W715" s="92"/>
      <c r="X715" s="92"/>
      <c r="Y715" s="92"/>
      <c r="Z715" s="92"/>
      <c r="AA715" s="273"/>
      <c r="AB715" s="66"/>
      <c r="AD715" s="71"/>
      <c r="AE715" s="71"/>
      <c r="AF715" s="71"/>
      <c r="AG715" s="71"/>
    </row>
    <row r="716" spans="8:33" s="51" customFormat="1">
      <c r="H716" s="71"/>
      <c r="K716" s="71"/>
      <c r="M716" s="86"/>
      <c r="P716" s="86"/>
      <c r="W716" s="92"/>
      <c r="X716" s="92"/>
      <c r="Y716" s="92"/>
      <c r="Z716" s="92"/>
      <c r="AA716" s="273"/>
      <c r="AB716" s="66"/>
      <c r="AD716" s="71"/>
      <c r="AE716" s="71"/>
      <c r="AF716" s="71"/>
      <c r="AG716" s="71"/>
    </row>
    <row r="717" spans="8:33" s="51" customFormat="1">
      <c r="H717" s="71"/>
      <c r="K717" s="71"/>
      <c r="M717" s="86"/>
      <c r="P717" s="86"/>
      <c r="W717" s="92"/>
      <c r="X717" s="92"/>
      <c r="Y717" s="92"/>
      <c r="Z717" s="92"/>
      <c r="AA717" s="273"/>
      <c r="AB717" s="66"/>
      <c r="AD717" s="71"/>
      <c r="AE717" s="71"/>
      <c r="AF717" s="71"/>
      <c r="AG717" s="71"/>
    </row>
    <row r="718" spans="8:33" s="51" customFormat="1">
      <c r="H718" s="71"/>
      <c r="K718" s="71"/>
      <c r="M718" s="86"/>
      <c r="P718" s="86"/>
      <c r="W718" s="92"/>
      <c r="X718" s="92"/>
      <c r="Y718" s="92"/>
      <c r="Z718" s="92"/>
      <c r="AA718" s="273"/>
      <c r="AB718" s="66"/>
      <c r="AD718" s="71"/>
      <c r="AE718" s="71"/>
      <c r="AF718" s="71"/>
      <c r="AG718" s="71"/>
    </row>
    <row r="719" spans="8:33" s="51" customFormat="1">
      <c r="H719" s="71"/>
      <c r="K719" s="71"/>
      <c r="M719" s="86"/>
      <c r="P719" s="86"/>
      <c r="W719" s="92"/>
      <c r="X719" s="92"/>
      <c r="Y719" s="92"/>
      <c r="Z719" s="92"/>
      <c r="AA719" s="273"/>
      <c r="AB719" s="66"/>
      <c r="AD719" s="71"/>
      <c r="AE719" s="71"/>
      <c r="AF719" s="71"/>
      <c r="AG719" s="71"/>
    </row>
    <row r="720" spans="8:33" s="51" customFormat="1">
      <c r="H720" s="71"/>
      <c r="K720" s="71"/>
      <c r="M720" s="86"/>
      <c r="P720" s="86"/>
      <c r="W720" s="92"/>
      <c r="X720" s="92"/>
      <c r="Y720" s="92"/>
      <c r="Z720" s="92"/>
      <c r="AA720" s="273"/>
      <c r="AB720" s="66"/>
      <c r="AD720" s="71"/>
      <c r="AE720" s="71"/>
      <c r="AF720" s="71"/>
      <c r="AG720" s="71"/>
    </row>
    <row r="721" spans="8:33" s="51" customFormat="1">
      <c r="H721" s="71"/>
      <c r="K721" s="71"/>
      <c r="M721" s="86"/>
      <c r="P721" s="86"/>
      <c r="W721" s="92"/>
      <c r="X721" s="92"/>
      <c r="Y721" s="92"/>
      <c r="Z721" s="92"/>
      <c r="AA721" s="273"/>
      <c r="AB721" s="66"/>
      <c r="AD721" s="71"/>
      <c r="AE721" s="71"/>
      <c r="AF721" s="71"/>
      <c r="AG721" s="71"/>
    </row>
    <row r="722" spans="8:33" s="51" customFormat="1">
      <c r="H722" s="71"/>
      <c r="K722" s="71"/>
      <c r="M722" s="86"/>
      <c r="P722" s="86"/>
      <c r="W722" s="92"/>
      <c r="X722" s="92"/>
      <c r="Y722" s="92"/>
      <c r="Z722" s="92"/>
      <c r="AA722" s="273"/>
      <c r="AB722" s="66"/>
      <c r="AD722" s="71"/>
      <c r="AE722" s="71"/>
      <c r="AF722" s="71"/>
      <c r="AG722" s="71"/>
    </row>
    <row r="723" spans="8:33" s="51" customFormat="1">
      <c r="H723" s="71"/>
      <c r="K723" s="71"/>
      <c r="M723" s="86"/>
      <c r="P723" s="86"/>
      <c r="W723" s="92"/>
      <c r="X723" s="92"/>
      <c r="Y723" s="92"/>
      <c r="Z723" s="92"/>
      <c r="AA723" s="273"/>
      <c r="AB723" s="66"/>
      <c r="AD723" s="71"/>
      <c r="AE723" s="71"/>
      <c r="AF723" s="71"/>
      <c r="AG723" s="71"/>
    </row>
    <row r="724" spans="8:33" s="51" customFormat="1">
      <c r="H724" s="71"/>
      <c r="K724" s="71"/>
      <c r="M724" s="86"/>
      <c r="P724" s="86"/>
      <c r="W724" s="92"/>
      <c r="X724" s="92"/>
      <c r="Y724" s="92"/>
      <c r="Z724" s="92"/>
      <c r="AA724" s="273"/>
      <c r="AB724" s="66"/>
      <c r="AD724" s="71"/>
      <c r="AE724" s="71"/>
      <c r="AF724" s="71"/>
      <c r="AG724" s="71"/>
    </row>
    <row r="725" spans="8:33" s="51" customFormat="1">
      <c r="H725" s="71"/>
      <c r="K725" s="71"/>
      <c r="M725" s="86"/>
      <c r="P725" s="86"/>
      <c r="W725" s="92"/>
      <c r="X725" s="92"/>
      <c r="Y725" s="92"/>
      <c r="Z725" s="92"/>
      <c r="AA725" s="273"/>
      <c r="AB725" s="66"/>
      <c r="AD725" s="71"/>
      <c r="AE725" s="71"/>
      <c r="AF725" s="71"/>
      <c r="AG725" s="71"/>
    </row>
    <row r="726" spans="8:33" s="51" customFormat="1">
      <c r="H726" s="71"/>
      <c r="K726" s="71"/>
      <c r="M726" s="86"/>
      <c r="P726" s="86"/>
      <c r="W726" s="92"/>
      <c r="X726" s="92"/>
      <c r="Y726" s="92"/>
      <c r="Z726" s="92"/>
      <c r="AA726" s="273"/>
      <c r="AB726" s="66"/>
      <c r="AD726" s="71"/>
      <c r="AE726" s="71"/>
      <c r="AF726" s="71"/>
      <c r="AG726" s="71"/>
    </row>
    <row r="727" spans="8:33" s="51" customFormat="1">
      <c r="H727" s="71"/>
      <c r="K727" s="71"/>
      <c r="M727" s="86"/>
      <c r="P727" s="86"/>
      <c r="W727" s="92"/>
      <c r="X727" s="92"/>
      <c r="Y727" s="92"/>
      <c r="Z727" s="92"/>
      <c r="AA727" s="273"/>
      <c r="AB727" s="66"/>
      <c r="AD727" s="71"/>
      <c r="AE727" s="71"/>
      <c r="AF727" s="71"/>
      <c r="AG727" s="71"/>
    </row>
    <row r="728" spans="8:33" s="51" customFormat="1">
      <c r="H728" s="71"/>
      <c r="K728" s="71"/>
      <c r="M728" s="86"/>
      <c r="P728" s="86"/>
      <c r="W728" s="92"/>
      <c r="X728" s="92"/>
      <c r="Y728" s="92"/>
      <c r="Z728" s="92"/>
      <c r="AA728" s="273"/>
      <c r="AB728" s="66"/>
      <c r="AD728" s="71"/>
      <c r="AE728" s="71"/>
      <c r="AF728" s="71"/>
      <c r="AG728" s="71"/>
    </row>
    <row r="729" spans="8:33" s="51" customFormat="1">
      <c r="H729" s="71"/>
      <c r="K729" s="71"/>
      <c r="M729" s="86"/>
      <c r="P729" s="86"/>
      <c r="W729" s="92"/>
      <c r="X729" s="92"/>
      <c r="Y729" s="92"/>
      <c r="Z729" s="92"/>
      <c r="AA729" s="273"/>
      <c r="AB729" s="66"/>
      <c r="AD729" s="71"/>
      <c r="AE729" s="71"/>
      <c r="AF729" s="71"/>
      <c r="AG729" s="71"/>
    </row>
    <row r="730" spans="8:33" s="51" customFormat="1">
      <c r="H730" s="71"/>
      <c r="K730" s="71"/>
      <c r="M730" s="86"/>
      <c r="P730" s="86"/>
      <c r="W730" s="92"/>
      <c r="X730" s="92"/>
      <c r="Y730" s="92"/>
      <c r="Z730" s="92"/>
      <c r="AA730" s="273"/>
      <c r="AB730" s="66"/>
      <c r="AD730" s="71"/>
      <c r="AE730" s="71"/>
      <c r="AF730" s="71"/>
      <c r="AG730" s="71"/>
    </row>
    <row r="731" spans="8:33" s="51" customFormat="1">
      <c r="H731" s="71"/>
      <c r="K731" s="71"/>
      <c r="M731" s="86"/>
      <c r="P731" s="86"/>
      <c r="W731" s="92"/>
      <c r="X731" s="92"/>
      <c r="Y731" s="92"/>
      <c r="Z731" s="92"/>
      <c r="AA731" s="273"/>
      <c r="AB731" s="66"/>
      <c r="AD731" s="71"/>
      <c r="AE731" s="71"/>
      <c r="AF731" s="71"/>
      <c r="AG731" s="71"/>
    </row>
    <row r="732" spans="8:33" s="51" customFormat="1">
      <c r="H732" s="71"/>
      <c r="K732" s="71"/>
      <c r="M732" s="86"/>
      <c r="P732" s="86"/>
      <c r="W732" s="92"/>
      <c r="X732" s="92"/>
      <c r="Y732" s="92"/>
      <c r="Z732" s="92"/>
      <c r="AA732" s="273"/>
      <c r="AB732" s="66"/>
      <c r="AD732" s="71"/>
      <c r="AE732" s="71"/>
      <c r="AF732" s="71"/>
      <c r="AG732" s="71"/>
    </row>
    <row r="733" spans="8:33" s="51" customFormat="1">
      <c r="H733" s="71"/>
      <c r="K733" s="71"/>
      <c r="M733" s="86"/>
      <c r="P733" s="86"/>
      <c r="W733" s="92"/>
      <c r="X733" s="92"/>
      <c r="Y733" s="92"/>
      <c r="Z733" s="92"/>
      <c r="AA733" s="273"/>
      <c r="AB733" s="66"/>
      <c r="AD733" s="71"/>
      <c r="AE733" s="71"/>
      <c r="AF733" s="71"/>
      <c r="AG733" s="71"/>
    </row>
    <row r="734" spans="8:33" s="51" customFormat="1">
      <c r="H734" s="71"/>
      <c r="K734" s="71"/>
      <c r="M734" s="86"/>
      <c r="P734" s="86"/>
      <c r="W734" s="92"/>
      <c r="X734" s="92"/>
      <c r="Y734" s="92"/>
      <c r="Z734" s="92"/>
      <c r="AA734" s="273"/>
      <c r="AB734" s="66"/>
      <c r="AD734" s="71"/>
      <c r="AE734" s="71"/>
      <c r="AF734" s="71"/>
      <c r="AG734" s="71"/>
    </row>
    <row r="735" spans="8:33" s="51" customFormat="1">
      <c r="H735" s="71"/>
      <c r="K735" s="71"/>
      <c r="M735" s="86"/>
      <c r="P735" s="86"/>
      <c r="W735" s="92"/>
      <c r="X735" s="92"/>
      <c r="Y735" s="92"/>
      <c r="Z735" s="92"/>
      <c r="AA735" s="273"/>
      <c r="AB735" s="66"/>
      <c r="AD735" s="71"/>
      <c r="AE735" s="71"/>
      <c r="AF735" s="71"/>
      <c r="AG735" s="71"/>
    </row>
    <row r="736" spans="8:33" s="51" customFormat="1">
      <c r="H736" s="71"/>
      <c r="K736" s="71"/>
      <c r="M736" s="86"/>
      <c r="P736" s="86"/>
      <c r="W736" s="92"/>
      <c r="X736" s="92"/>
      <c r="Y736" s="92"/>
      <c r="Z736" s="92"/>
      <c r="AA736" s="273"/>
      <c r="AB736" s="66"/>
      <c r="AD736" s="71"/>
      <c r="AE736" s="71"/>
      <c r="AF736" s="71"/>
      <c r="AG736" s="71"/>
    </row>
    <row r="737" spans="8:33" s="51" customFormat="1">
      <c r="H737" s="71"/>
      <c r="K737" s="71"/>
      <c r="M737" s="86"/>
      <c r="P737" s="86"/>
      <c r="W737" s="92"/>
      <c r="X737" s="92"/>
      <c r="Y737" s="92"/>
      <c r="Z737" s="92"/>
      <c r="AA737" s="273"/>
      <c r="AB737" s="66"/>
      <c r="AD737" s="71"/>
      <c r="AE737" s="71"/>
      <c r="AF737" s="71"/>
      <c r="AG737" s="71"/>
    </row>
    <row r="738" spans="8:33" s="51" customFormat="1">
      <c r="H738" s="71"/>
      <c r="K738" s="71"/>
      <c r="M738" s="86"/>
      <c r="P738" s="86"/>
      <c r="W738" s="92"/>
      <c r="X738" s="92"/>
      <c r="Y738" s="92"/>
      <c r="Z738" s="92"/>
      <c r="AA738" s="273"/>
      <c r="AB738" s="66"/>
      <c r="AD738" s="71"/>
      <c r="AE738" s="71"/>
      <c r="AF738" s="71"/>
      <c r="AG738" s="71"/>
    </row>
    <row r="739" spans="8:33" s="51" customFormat="1">
      <c r="H739" s="71"/>
      <c r="K739" s="71"/>
      <c r="M739" s="86"/>
      <c r="P739" s="86"/>
      <c r="W739" s="92"/>
      <c r="X739" s="92"/>
      <c r="Y739" s="92"/>
      <c r="Z739" s="92"/>
      <c r="AA739" s="273"/>
      <c r="AB739" s="66"/>
      <c r="AD739" s="71"/>
      <c r="AE739" s="71"/>
      <c r="AF739" s="71"/>
      <c r="AG739" s="71"/>
    </row>
    <row r="740" spans="8:33" s="51" customFormat="1">
      <c r="H740" s="71"/>
      <c r="K740" s="71"/>
      <c r="M740" s="86"/>
      <c r="P740" s="86"/>
      <c r="W740" s="92"/>
      <c r="X740" s="92"/>
      <c r="Y740" s="92"/>
      <c r="Z740" s="92"/>
      <c r="AA740" s="273"/>
      <c r="AB740" s="66"/>
      <c r="AD740" s="71"/>
      <c r="AE740" s="71"/>
      <c r="AF740" s="71"/>
      <c r="AG740" s="71"/>
    </row>
    <row r="741" spans="8:33" s="51" customFormat="1">
      <c r="H741" s="71"/>
      <c r="K741" s="71"/>
      <c r="M741" s="86"/>
      <c r="P741" s="86"/>
      <c r="W741" s="92"/>
      <c r="X741" s="92"/>
      <c r="Y741" s="92"/>
      <c r="Z741" s="92"/>
      <c r="AA741" s="273"/>
      <c r="AB741" s="66"/>
      <c r="AD741" s="71"/>
      <c r="AE741" s="71"/>
      <c r="AF741" s="71"/>
      <c r="AG741" s="71"/>
    </row>
    <row r="742" spans="8:33" s="51" customFormat="1">
      <c r="H742" s="71"/>
      <c r="K742" s="71"/>
      <c r="M742" s="86"/>
      <c r="P742" s="86"/>
      <c r="W742" s="92"/>
      <c r="X742" s="92"/>
      <c r="Y742" s="92"/>
      <c r="Z742" s="92"/>
      <c r="AA742" s="273"/>
      <c r="AB742" s="66"/>
      <c r="AD742" s="71"/>
      <c r="AE742" s="71"/>
      <c r="AF742" s="71"/>
      <c r="AG742" s="71"/>
    </row>
    <row r="743" spans="8:33" s="51" customFormat="1">
      <c r="H743" s="71"/>
      <c r="K743" s="71"/>
      <c r="M743" s="86"/>
      <c r="P743" s="86"/>
      <c r="W743" s="92"/>
      <c r="X743" s="92"/>
      <c r="Y743" s="92"/>
      <c r="Z743" s="92"/>
      <c r="AA743" s="273"/>
      <c r="AB743" s="66"/>
      <c r="AD743" s="71"/>
      <c r="AE743" s="71"/>
      <c r="AF743" s="71"/>
      <c r="AG743" s="71"/>
    </row>
    <row r="744" spans="8:33" s="51" customFormat="1">
      <c r="H744" s="71"/>
      <c r="K744" s="71"/>
      <c r="M744" s="86"/>
      <c r="P744" s="86"/>
      <c r="W744" s="92"/>
      <c r="X744" s="92"/>
      <c r="Y744" s="92"/>
      <c r="Z744" s="92"/>
      <c r="AA744" s="273"/>
      <c r="AB744" s="66"/>
      <c r="AD744" s="71"/>
      <c r="AE744" s="71"/>
      <c r="AF744" s="71"/>
      <c r="AG744" s="71"/>
    </row>
    <row r="745" spans="8:33" s="51" customFormat="1">
      <c r="H745" s="71"/>
      <c r="K745" s="71"/>
      <c r="M745" s="86"/>
      <c r="P745" s="86"/>
      <c r="W745" s="92"/>
      <c r="X745" s="92"/>
      <c r="Y745" s="92"/>
      <c r="Z745" s="92"/>
      <c r="AA745" s="273"/>
      <c r="AB745" s="66"/>
      <c r="AD745" s="71"/>
      <c r="AE745" s="71"/>
      <c r="AF745" s="71"/>
      <c r="AG745" s="71"/>
    </row>
    <row r="746" spans="8:33" s="51" customFormat="1">
      <c r="H746" s="71"/>
      <c r="K746" s="71"/>
      <c r="M746" s="86"/>
      <c r="P746" s="86"/>
      <c r="W746" s="92"/>
      <c r="X746" s="92"/>
      <c r="Y746" s="92"/>
      <c r="Z746" s="92"/>
      <c r="AA746" s="273"/>
      <c r="AB746" s="66"/>
      <c r="AD746" s="71"/>
      <c r="AE746" s="71"/>
      <c r="AF746" s="71"/>
      <c r="AG746" s="71"/>
    </row>
    <row r="747" spans="8:33" s="51" customFormat="1">
      <c r="H747" s="71"/>
      <c r="K747" s="71"/>
      <c r="M747" s="86"/>
      <c r="P747" s="86"/>
      <c r="W747" s="92"/>
      <c r="X747" s="92"/>
      <c r="Y747" s="92"/>
      <c r="Z747" s="92"/>
      <c r="AA747" s="273"/>
      <c r="AB747" s="66"/>
      <c r="AD747" s="71"/>
      <c r="AE747" s="71"/>
      <c r="AF747" s="71"/>
      <c r="AG747" s="71"/>
    </row>
    <row r="748" spans="8:33" s="51" customFormat="1">
      <c r="H748" s="71"/>
      <c r="K748" s="71"/>
      <c r="M748" s="86"/>
      <c r="P748" s="86"/>
      <c r="W748" s="92"/>
      <c r="X748" s="92"/>
      <c r="Y748" s="92"/>
      <c r="Z748" s="92"/>
      <c r="AA748" s="273"/>
      <c r="AB748" s="66"/>
      <c r="AD748" s="71"/>
      <c r="AE748" s="71"/>
      <c r="AF748" s="71"/>
      <c r="AG748" s="71"/>
    </row>
    <row r="749" spans="8:33" s="51" customFormat="1">
      <c r="H749" s="71"/>
      <c r="K749" s="71"/>
      <c r="M749" s="86"/>
      <c r="P749" s="86"/>
      <c r="W749" s="92"/>
      <c r="X749" s="92"/>
      <c r="Y749" s="92"/>
      <c r="Z749" s="92"/>
      <c r="AA749" s="273"/>
      <c r="AB749" s="66"/>
      <c r="AD749" s="71"/>
      <c r="AE749" s="71"/>
      <c r="AF749" s="71"/>
      <c r="AG749" s="71"/>
    </row>
    <row r="750" spans="8:33" s="51" customFormat="1">
      <c r="H750" s="71"/>
      <c r="K750" s="71"/>
      <c r="M750" s="86"/>
      <c r="P750" s="86"/>
      <c r="W750" s="92"/>
      <c r="X750" s="92"/>
      <c r="Y750" s="92"/>
      <c r="Z750" s="92"/>
      <c r="AA750" s="273"/>
      <c r="AB750" s="66"/>
      <c r="AD750" s="71"/>
      <c r="AE750" s="71"/>
      <c r="AF750" s="71"/>
      <c r="AG750" s="71"/>
    </row>
    <row r="751" spans="8:33" s="51" customFormat="1">
      <c r="H751" s="71"/>
      <c r="K751" s="71"/>
      <c r="M751" s="86"/>
      <c r="P751" s="86"/>
      <c r="W751" s="92"/>
      <c r="X751" s="92"/>
      <c r="Y751" s="92"/>
      <c r="Z751" s="92"/>
      <c r="AA751" s="273"/>
      <c r="AB751" s="66"/>
      <c r="AD751" s="71"/>
      <c r="AE751" s="71"/>
      <c r="AF751" s="71"/>
      <c r="AG751" s="71"/>
    </row>
    <row r="752" spans="8:33" s="51" customFormat="1">
      <c r="H752" s="71"/>
      <c r="K752" s="71"/>
      <c r="M752" s="86"/>
      <c r="P752" s="86"/>
      <c r="W752" s="92"/>
      <c r="X752" s="92"/>
      <c r="Y752" s="92"/>
      <c r="Z752" s="92"/>
      <c r="AA752" s="273"/>
      <c r="AB752" s="66"/>
      <c r="AD752" s="71"/>
      <c r="AE752" s="71"/>
      <c r="AF752" s="71"/>
      <c r="AG752" s="71"/>
    </row>
    <row r="753" spans="8:33" s="51" customFormat="1">
      <c r="H753" s="71"/>
      <c r="K753" s="71"/>
      <c r="M753" s="86"/>
      <c r="P753" s="86"/>
      <c r="W753" s="92"/>
      <c r="X753" s="92"/>
      <c r="Y753" s="92"/>
      <c r="Z753" s="92"/>
      <c r="AA753" s="273"/>
      <c r="AB753" s="66"/>
      <c r="AD753" s="71"/>
      <c r="AE753" s="71"/>
      <c r="AF753" s="71"/>
      <c r="AG753" s="71"/>
    </row>
    <row r="754" spans="8:33" s="51" customFormat="1">
      <c r="H754" s="71"/>
      <c r="K754" s="71"/>
      <c r="M754" s="86"/>
      <c r="P754" s="86"/>
      <c r="W754" s="92"/>
      <c r="X754" s="92"/>
      <c r="Y754" s="92"/>
      <c r="Z754" s="92"/>
      <c r="AA754" s="273"/>
      <c r="AB754" s="66"/>
      <c r="AD754" s="71"/>
      <c r="AE754" s="71"/>
      <c r="AF754" s="71"/>
      <c r="AG754" s="71"/>
    </row>
    <row r="755" spans="8:33" s="51" customFormat="1">
      <c r="H755" s="71"/>
      <c r="K755" s="71"/>
      <c r="M755" s="86"/>
      <c r="P755" s="86"/>
      <c r="W755" s="92"/>
      <c r="X755" s="92"/>
      <c r="Y755" s="92"/>
      <c r="Z755" s="92"/>
      <c r="AA755" s="273"/>
      <c r="AB755" s="66"/>
      <c r="AD755" s="71"/>
      <c r="AE755" s="71"/>
      <c r="AF755" s="71"/>
      <c r="AG755" s="71"/>
    </row>
    <row r="756" spans="8:33" s="51" customFormat="1">
      <c r="H756" s="71"/>
      <c r="K756" s="71"/>
      <c r="M756" s="86"/>
      <c r="P756" s="86"/>
      <c r="W756" s="92"/>
      <c r="X756" s="92"/>
      <c r="Y756" s="92"/>
      <c r="Z756" s="92"/>
      <c r="AA756" s="273"/>
      <c r="AB756" s="66"/>
      <c r="AD756" s="71"/>
      <c r="AE756" s="71"/>
      <c r="AF756" s="71"/>
      <c r="AG756" s="71"/>
    </row>
    <row r="757" spans="8:33" s="51" customFormat="1">
      <c r="H757" s="71"/>
      <c r="K757" s="71"/>
      <c r="M757" s="86"/>
      <c r="P757" s="86"/>
      <c r="W757" s="92"/>
      <c r="X757" s="92"/>
      <c r="Y757" s="92"/>
      <c r="Z757" s="92"/>
      <c r="AA757" s="273"/>
      <c r="AB757" s="66"/>
      <c r="AD757" s="71"/>
      <c r="AE757" s="71"/>
      <c r="AF757" s="71"/>
      <c r="AG757" s="71"/>
    </row>
    <row r="758" spans="8:33" s="51" customFormat="1">
      <c r="H758" s="71"/>
      <c r="K758" s="71"/>
      <c r="M758" s="86"/>
      <c r="P758" s="86"/>
      <c r="W758" s="92"/>
      <c r="X758" s="92"/>
      <c r="Y758" s="92"/>
      <c r="Z758" s="92"/>
      <c r="AA758" s="273"/>
      <c r="AB758" s="66"/>
      <c r="AD758" s="71"/>
      <c r="AE758" s="71"/>
      <c r="AF758" s="71"/>
      <c r="AG758" s="71"/>
    </row>
    <row r="759" spans="8:33" s="51" customFormat="1">
      <c r="H759" s="71"/>
      <c r="K759" s="71"/>
      <c r="M759" s="86"/>
      <c r="P759" s="86"/>
      <c r="W759" s="92"/>
      <c r="X759" s="92"/>
      <c r="Y759" s="92"/>
      <c r="Z759" s="92"/>
      <c r="AA759" s="273"/>
      <c r="AB759" s="66"/>
      <c r="AD759" s="71"/>
      <c r="AE759" s="71"/>
      <c r="AF759" s="71"/>
      <c r="AG759" s="71"/>
    </row>
    <row r="760" spans="8:33" s="51" customFormat="1">
      <c r="H760" s="71"/>
      <c r="K760" s="71"/>
      <c r="M760" s="86"/>
      <c r="P760" s="86"/>
      <c r="W760" s="92"/>
      <c r="X760" s="92"/>
      <c r="Y760" s="92"/>
      <c r="Z760" s="92"/>
      <c r="AA760" s="273"/>
      <c r="AB760" s="66"/>
      <c r="AD760" s="71"/>
      <c r="AE760" s="71"/>
      <c r="AF760" s="71"/>
      <c r="AG760" s="71"/>
    </row>
    <row r="761" spans="8:33" s="51" customFormat="1">
      <c r="H761" s="71"/>
      <c r="K761" s="71"/>
      <c r="M761" s="86"/>
      <c r="P761" s="86"/>
      <c r="W761" s="92"/>
      <c r="X761" s="92"/>
      <c r="Y761" s="92"/>
      <c r="Z761" s="92"/>
      <c r="AA761" s="273"/>
      <c r="AB761" s="66"/>
      <c r="AD761" s="71"/>
      <c r="AE761" s="71"/>
      <c r="AF761" s="71"/>
      <c r="AG761" s="71"/>
    </row>
    <row r="762" spans="8:33" s="51" customFormat="1">
      <c r="H762" s="71"/>
      <c r="K762" s="71"/>
      <c r="M762" s="86"/>
      <c r="P762" s="86"/>
      <c r="W762" s="92"/>
      <c r="X762" s="92"/>
      <c r="Y762" s="92"/>
      <c r="Z762" s="92"/>
      <c r="AA762" s="273"/>
      <c r="AB762" s="66"/>
      <c r="AD762" s="71"/>
      <c r="AE762" s="71"/>
      <c r="AF762" s="71"/>
      <c r="AG762" s="71"/>
    </row>
    <row r="763" spans="8:33" s="51" customFormat="1">
      <c r="H763" s="71"/>
      <c r="K763" s="71"/>
      <c r="M763" s="86"/>
      <c r="P763" s="86"/>
      <c r="W763" s="92"/>
      <c r="X763" s="92"/>
      <c r="Y763" s="92"/>
      <c r="Z763" s="92"/>
      <c r="AA763" s="273"/>
      <c r="AB763" s="66"/>
      <c r="AD763" s="71"/>
      <c r="AE763" s="71"/>
      <c r="AF763" s="71"/>
      <c r="AG763" s="71"/>
    </row>
    <row r="764" spans="8:33" s="51" customFormat="1">
      <c r="H764" s="71"/>
      <c r="K764" s="71"/>
      <c r="M764" s="86"/>
      <c r="P764" s="86"/>
      <c r="W764" s="92"/>
      <c r="X764" s="92"/>
      <c r="Y764" s="92"/>
      <c r="Z764" s="92"/>
      <c r="AA764" s="273"/>
      <c r="AB764" s="66"/>
      <c r="AD764" s="71"/>
      <c r="AE764" s="71"/>
      <c r="AF764" s="71"/>
      <c r="AG764" s="71"/>
    </row>
    <row r="765" spans="8:33" s="51" customFormat="1">
      <c r="H765" s="71"/>
      <c r="K765" s="71"/>
      <c r="M765" s="86"/>
      <c r="P765" s="86"/>
      <c r="W765" s="92"/>
      <c r="X765" s="92"/>
      <c r="Y765" s="92"/>
      <c r="Z765" s="92"/>
      <c r="AA765" s="273"/>
      <c r="AB765" s="66"/>
      <c r="AD765" s="71"/>
      <c r="AE765" s="71"/>
      <c r="AF765" s="71"/>
      <c r="AG765" s="71"/>
    </row>
    <row r="766" spans="8:33" s="51" customFormat="1">
      <c r="H766" s="71"/>
      <c r="K766" s="71"/>
      <c r="M766" s="86"/>
      <c r="P766" s="86"/>
      <c r="W766" s="92"/>
      <c r="X766" s="92"/>
      <c r="Y766" s="92"/>
      <c r="Z766" s="92"/>
      <c r="AA766" s="273"/>
      <c r="AB766" s="66"/>
      <c r="AD766" s="71"/>
      <c r="AE766" s="71"/>
      <c r="AF766" s="71"/>
      <c r="AG766" s="71"/>
    </row>
    <row r="767" spans="8:33" s="51" customFormat="1">
      <c r="H767" s="71"/>
      <c r="K767" s="71"/>
      <c r="M767" s="86"/>
      <c r="P767" s="86"/>
      <c r="W767" s="92"/>
      <c r="X767" s="92"/>
      <c r="Y767" s="92"/>
      <c r="Z767" s="92"/>
      <c r="AA767" s="273"/>
      <c r="AB767" s="66"/>
      <c r="AD767" s="71"/>
      <c r="AE767" s="71"/>
      <c r="AF767" s="71"/>
      <c r="AG767" s="71"/>
    </row>
    <row r="768" spans="8:33" s="51" customFormat="1">
      <c r="H768" s="71"/>
      <c r="K768" s="71"/>
      <c r="M768" s="86"/>
      <c r="P768" s="86"/>
      <c r="W768" s="92"/>
      <c r="X768" s="92"/>
      <c r="Y768" s="92"/>
      <c r="Z768" s="92"/>
      <c r="AA768" s="273"/>
      <c r="AB768" s="66"/>
      <c r="AD768" s="71"/>
      <c r="AE768" s="71"/>
      <c r="AF768" s="71"/>
      <c r="AG768" s="71"/>
    </row>
    <row r="769" spans="8:33" s="51" customFormat="1">
      <c r="H769" s="71"/>
      <c r="K769" s="71"/>
      <c r="M769" s="86"/>
      <c r="P769" s="86"/>
      <c r="W769" s="92"/>
      <c r="X769" s="92"/>
      <c r="Y769" s="92"/>
      <c r="Z769" s="92"/>
      <c r="AA769" s="273"/>
      <c r="AB769" s="66"/>
      <c r="AD769" s="71"/>
      <c r="AE769" s="71"/>
      <c r="AF769" s="71"/>
      <c r="AG769" s="71"/>
    </row>
    <row r="770" spans="8:33" s="51" customFormat="1">
      <c r="H770" s="71"/>
      <c r="K770" s="71"/>
      <c r="M770" s="86"/>
      <c r="P770" s="86"/>
      <c r="W770" s="92"/>
      <c r="X770" s="92"/>
      <c r="Y770" s="92"/>
      <c r="Z770" s="92"/>
      <c r="AA770" s="273"/>
      <c r="AB770" s="66"/>
      <c r="AD770" s="71"/>
      <c r="AE770" s="71"/>
      <c r="AF770" s="71"/>
      <c r="AG770" s="71"/>
    </row>
    <row r="771" spans="8:33" s="51" customFormat="1">
      <c r="H771" s="71"/>
      <c r="K771" s="71"/>
      <c r="M771" s="86"/>
      <c r="P771" s="86"/>
      <c r="W771" s="92"/>
      <c r="X771" s="92"/>
      <c r="Y771" s="92"/>
      <c r="Z771" s="92"/>
      <c r="AA771" s="273"/>
      <c r="AB771" s="66"/>
      <c r="AD771" s="71"/>
      <c r="AE771" s="71"/>
      <c r="AF771" s="71"/>
      <c r="AG771" s="71"/>
    </row>
    <row r="772" spans="8:33" s="51" customFormat="1">
      <c r="H772" s="71"/>
      <c r="K772" s="71"/>
      <c r="M772" s="86"/>
      <c r="P772" s="86"/>
      <c r="W772" s="92"/>
      <c r="X772" s="92"/>
      <c r="Y772" s="92"/>
      <c r="Z772" s="92"/>
      <c r="AA772" s="273"/>
      <c r="AB772" s="66"/>
      <c r="AD772" s="71"/>
      <c r="AE772" s="71"/>
      <c r="AF772" s="71"/>
      <c r="AG772" s="71"/>
    </row>
    <row r="773" spans="8:33" s="51" customFormat="1">
      <c r="H773" s="71"/>
      <c r="K773" s="71"/>
      <c r="M773" s="86"/>
      <c r="P773" s="86"/>
      <c r="W773" s="92"/>
      <c r="X773" s="92"/>
      <c r="Y773" s="92"/>
      <c r="Z773" s="92"/>
      <c r="AA773" s="273"/>
      <c r="AB773" s="66"/>
      <c r="AD773" s="71"/>
      <c r="AE773" s="71"/>
      <c r="AF773" s="71"/>
      <c r="AG773" s="71"/>
    </row>
    <row r="774" spans="8:33" s="51" customFormat="1">
      <c r="H774" s="71"/>
      <c r="K774" s="71"/>
      <c r="M774" s="86"/>
      <c r="P774" s="86"/>
      <c r="W774" s="92"/>
      <c r="X774" s="92"/>
      <c r="Y774" s="92"/>
      <c r="Z774" s="92"/>
      <c r="AA774" s="273"/>
      <c r="AB774" s="66"/>
      <c r="AD774" s="71"/>
      <c r="AE774" s="71"/>
      <c r="AF774" s="71"/>
      <c r="AG774" s="71"/>
    </row>
    <row r="775" spans="8:33" s="51" customFormat="1">
      <c r="H775" s="71"/>
      <c r="K775" s="71"/>
      <c r="M775" s="86"/>
      <c r="P775" s="86"/>
      <c r="W775" s="92"/>
      <c r="X775" s="92"/>
      <c r="Y775" s="92"/>
      <c r="Z775" s="92"/>
      <c r="AA775" s="273"/>
      <c r="AB775" s="66"/>
      <c r="AD775" s="71"/>
      <c r="AE775" s="71"/>
      <c r="AF775" s="71"/>
      <c r="AG775" s="71"/>
    </row>
    <row r="776" spans="8:33" s="51" customFormat="1">
      <c r="H776" s="71"/>
      <c r="K776" s="71"/>
      <c r="M776" s="86"/>
      <c r="P776" s="86"/>
      <c r="W776" s="92"/>
      <c r="X776" s="92"/>
      <c r="Y776" s="92"/>
      <c r="Z776" s="92"/>
      <c r="AA776" s="273"/>
      <c r="AB776" s="66"/>
      <c r="AD776" s="71"/>
      <c r="AE776" s="71"/>
      <c r="AF776" s="71"/>
      <c r="AG776" s="71"/>
    </row>
    <row r="777" spans="8:33" s="51" customFormat="1">
      <c r="H777" s="71"/>
      <c r="K777" s="71"/>
      <c r="M777" s="86"/>
      <c r="P777" s="86"/>
      <c r="W777" s="92"/>
      <c r="X777" s="92"/>
      <c r="Y777" s="92"/>
      <c r="Z777" s="92"/>
      <c r="AA777" s="273"/>
      <c r="AB777" s="66"/>
      <c r="AD777" s="71"/>
      <c r="AE777" s="71"/>
      <c r="AF777" s="71"/>
      <c r="AG777" s="71"/>
    </row>
    <row r="778" spans="8:33" s="51" customFormat="1">
      <c r="H778" s="71"/>
      <c r="K778" s="71"/>
      <c r="M778" s="86"/>
      <c r="P778" s="86"/>
      <c r="W778" s="92"/>
      <c r="X778" s="92"/>
      <c r="Y778" s="92"/>
      <c r="Z778" s="92"/>
      <c r="AA778" s="273"/>
      <c r="AB778" s="66"/>
      <c r="AD778" s="71"/>
      <c r="AE778" s="71"/>
      <c r="AF778" s="71"/>
      <c r="AG778" s="71"/>
    </row>
    <row r="779" spans="8:33" s="51" customFormat="1">
      <c r="H779" s="71"/>
      <c r="K779" s="71"/>
      <c r="M779" s="86"/>
      <c r="P779" s="86"/>
      <c r="W779" s="92"/>
      <c r="X779" s="92"/>
      <c r="Y779" s="92"/>
      <c r="Z779" s="92"/>
      <c r="AA779" s="273"/>
      <c r="AB779" s="66"/>
      <c r="AD779" s="71"/>
      <c r="AE779" s="71"/>
      <c r="AF779" s="71"/>
      <c r="AG779" s="71"/>
    </row>
    <row r="780" spans="8:33" s="51" customFormat="1">
      <c r="H780" s="71"/>
      <c r="K780" s="71"/>
      <c r="M780" s="86"/>
      <c r="P780" s="86"/>
      <c r="W780" s="92"/>
      <c r="X780" s="92"/>
      <c r="Y780" s="92"/>
      <c r="Z780" s="92"/>
      <c r="AA780" s="273"/>
      <c r="AB780" s="66"/>
      <c r="AD780" s="71"/>
      <c r="AE780" s="71"/>
      <c r="AF780" s="71"/>
      <c r="AG780" s="71"/>
    </row>
    <row r="781" spans="8:33" s="51" customFormat="1">
      <c r="H781" s="71"/>
      <c r="K781" s="71"/>
      <c r="M781" s="86"/>
      <c r="P781" s="86"/>
      <c r="W781" s="92"/>
      <c r="X781" s="92"/>
      <c r="Y781" s="92"/>
      <c r="Z781" s="92"/>
      <c r="AA781" s="273"/>
      <c r="AB781" s="66"/>
      <c r="AD781" s="71"/>
      <c r="AE781" s="71"/>
      <c r="AF781" s="71"/>
      <c r="AG781" s="71"/>
    </row>
    <row r="782" spans="8:33" s="51" customFormat="1">
      <c r="H782" s="71"/>
      <c r="K782" s="71"/>
      <c r="M782" s="86"/>
      <c r="P782" s="86"/>
      <c r="W782" s="92"/>
      <c r="X782" s="92"/>
      <c r="Y782" s="92"/>
      <c r="Z782" s="92"/>
      <c r="AA782" s="273"/>
      <c r="AB782" s="66"/>
      <c r="AD782" s="71"/>
      <c r="AE782" s="71"/>
      <c r="AF782" s="71"/>
      <c r="AG782" s="71"/>
    </row>
    <row r="783" spans="8:33" s="51" customFormat="1">
      <c r="H783" s="71"/>
      <c r="K783" s="71"/>
      <c r="M783" s="86"/>
      <c r="P783" s="86"/>
      <c r="W783" s="92"/>
      <c r="X783" s="92"/>
      <c r="Y783" s="92"/>
      <c r="Z783" s="92"/>
      <c r="AA783" s="273"/>
      <c r="AB783" s="66"/>
      <c r="AD783" s="71"/>
      <c r="AE783" s="71"/>
      <c r="AF783" s="71"/>
      <c r="AG783" s="71"/>
    </row>
    <row r="784" spans="8:33" s="51" customFormat="1">
      <c r="H784" s="71"/>
      <c r="K784" s="71"/>
      <c r="M784" s="86"/>
      <c r="P784" s="86"/>
      <c r="W784" s="92"/>
      <c r="X784" s="92"/>
      <c r="Y784" s="92"/>
      <c r="Z784" s="92"/>
      <c r="AA784" s="273"/>
      <c r="AB784" s="66"/>
      <c r="AD784" s="71"/>
      <c r="AE784" s="71"/>
      <c r="AF784" s="71"/>
      <c r="AG784" s="71"/>
    </row>
    <row r="785" spans="8:33" s="51" customFormat="1">
      <c r="H785" s="71"/>
      <c r="K785" s="71"/>
      <c r="M785" s="86"/>
      <c r="P785" s="86"/>
      <c r="W785" s="92"/>
      <c r="X785" s="92"/>
      <c r="Y785" s="92"/>
      <c r="Z785" s="92"/>
      <c r="AA785" s="273"/>
      <c r="AB785" s="66"/>
      <c r="AD785" s="71"/>
      <c r="AE785" s="71"/>
      <c r="AF785" s="71"/>
      <c r="AG785" s="71"/>
    </row>
    <row r="786" spans="8:33" s="51" customFormat="1">
      <c r="H786" s="71"/>
      <c r="K786" s="71"/>
      <c r="M786" s="86"/>
      <c r="P786" s="86"/>
      <c r="W786" s="92"/>
      <c r="X786" s="92"/>
      <c r="Y786" s="92"/>
      <c r="Z786" s="92"/>
      <c r="AA786" s="273"/>
      <c r="AB786" s="66"/>
      <c r="AD786" s="71"/>
      <c r="AE786" s="71"/>
      <c r="AF786" s="71"/>
      <c r="AG786" s="71"/>
    </row>
    <row r="787" spans="8:33" s="51" customFormat="1">
      <c r="H787" s="71"/>
      <c r="K787" s="71"/>
      <c r="M787" s="86"/>
      <c r="P787" s="86"/>
      <c r="W787" s="92"/>
      <c r="X787" s="92"/>
      <c r="Y787" s="92"/>
      <c r="Z787" s="92"/>
      <c r="AA787" s="273"/>
      <c r="AB787" s="66"/>
      <c r="AD787" s="71"/>
      <c r="AE787" s="71"/>
      <c r="AF787" s="71"/>
      <c r="AG787" s="71"/>
    </row>
    <row r="788" spans="8:33" s="51" customFormat="1">
      <c r="H788" s="71"/>
      <c r="K788" s="71"/>
      <c r="M788" s="86"/>
      <c r="P788" s="86"/>
      <c r="W788" s="92"/>
      <c r="X788" s="92"/>
      <c r="Y788" s="92"/>
      <c r="Z788" s="92"/>
      <c r="AA788" s="273"/>
      <c r="AB788" s="66"/>
      <c r="AD788" s="71"/>
      <c r="AE788" s="71"/>
      <c r="AF788" s="71"/>
      <c r="AG788" s="71"/>
    </row>
    <row r="789" spans="8:33" s="51" customFormat="1">
      <c r="H789" s="71"/>
      <c r="K789" s="71"/>
      <c r="M789" s="86"/>
      <c r="P789" s="86"/>
      <c r="W789" s="92"/>
      <c r="X789" s="92"/>
      <c r="Y789" s="92"/>
      <c r="Z789" s="92"/>
      <c r="AA789" s="273"/>
      <c r="AB789" s="66"/>
      <c r="AD789" s="71"/>
      <c r="AE789" s="71"/>
      <c r="AF789" s="71"/>
      <c r="AG789" s="71"/>
    </row>
    <row r="790" spans="8:33" s="51" customFormat="1">
      <c r="H790" s="71"/>
      <c r="K790" s="71"/>
      <c r="M790" s="86"/>
      <c r="P790" s="86"/>
      <c r="W790" s="92"/>
      <c r="X790" s="92"/>
      <c r="Y790" s="92"/>
      <c r="Z790" s="92"/>
      <c r="AA790" s="273"/>
      <c r="AB790" s="66"/>
      <c r="AD790" s="71"/>
      <c r="AE790" s="71"/>
      <c r="AF790" s="71"/>
      <c r="AG790" s="71"/>
    </row>
    <row r="791" spans="8:33" s="51" customFormat="1">
      <c r="H791" s="71"/>
      <c r="K791" s="71"/>
      <c r="M791" s="86"/>
      <c r="P791" s="86"/>
      <c r="W791" s="92"/>
      <c r="X791" s="92"/>
      <c r="Y791" s="92"/>
      <c r="Z791" s="92"/>
      <c r="AA791" s="273"/>
      <c r="AB791" s="66"/>
      <c r="AD791" s="71"/>
      <c r="AE791" s="71"/>
      <c r="AF791" s="71"/>
      <c r="AG791" s="71"/>
    </row>
    <row r="792" spans="8:33" s="51" customFormat="1">
      <c r="H792" s="71"/>
      <c r="K792" s="71"/>
      <c r="M792" s="86"/>
      <c r="P792" s="86"/>
      <c r="W792" s="92"/>
      <c r="X792" s="92"/>
      <c r="Y792" s="92"/>
      <c r="Z792" s="92"/>
      <c r="AA792" s="273"/>
      <c r="AB792" s="66"/>
      <c r="AD792" s="71"/>
      <c r="AE792" s="71"/>
      <c r="AF792" s="71"/>
      <c r="AG792" s="71"/>
    </row>
    <row r="793" spans="8:33" s="51" customFormat="1">
      <c r="H793" s="71"/>
      <c r="K793" s="71"/>
      <c r="M793" s="86"/>
      <c r="P793" s="86"/>
      <c r="W793" s="92"/>
      <c r="X793" s="92"/>
      <c r="Y793" s="92"/>
      <c r="Z793" s="92"/>
      <c r="AA793" s="273"/>
      <c r="AB793" s="66"/>
      <c r="AD793" s="71"/>
      <c r="AE793" s="71"/>
      <c r="AF793" s="71"/>
      <c r="AG793" s="71"/>
    </row>
    <row r="794" spans="8:33" s="51" customFormat="1">
      <c r="H794" s="71"/>
      <c r="K794" s="71"/>
      <c r="M794" s="86"/>
      <c r="P794" s="86"/>
      <c r="W794" s="92"/>
      <c r="X794" s="92"/>
      <c r="Y794" s="92"/>
      <c r="Z794" s="92"/>
      <c r="AA794" s="273"/>
      <c r="AB794" s="66"/>
      <c r="AD794" s="71"/>
      <c r="AE794" s="71"/>
      <c r="AF794" s="71"/>
      <c r="AG794" s="71"/>
    </row>
    <row r="795" spans="8:33" s="51" customFormat="1">
      <c r="H795" s="71"/>
      <c r="K795" s="71"/>
      <c r="M795" s="86"/>
      <c r="P795" s="86"/>
      <c r="W795" s="92"/>
      <c r="X795" s="92"/>
      <c r="Y795" s="92"/>
      <c r="Z795" s="92"/>
      <c r="AA795" s="273"/>
      <c r="AB795" s="66"/>
      <c r="AD795" s="71"/>
      <c r="AE795" s="71"/>
      <c r="AF795" s="71"/>
      <c r="AG795" s="71"/>
    </row>
    <row r="796" spans="8:33" s="51" customFormat="1">
      <c r="H796" s="71"/>
      <c r="K796" s="71"/>
      <c r="M796" s="86"/>
      <c r="P796" s="86"/>
      <c r="W796" s="92"/>
      <c r="X796" s="92"/>
      <c r="Y796" s="92"/>
      <c r="Z796" s="92"/>
      <c r="AA796" s="273"/>
      <c r="AB796" s="66"/>
      <c r="AD796" s="71"/>
      <c r="AE796" s="71"/>
      <c r="AF796" s="71"/>
      <c r="AG796" s="71"/>
    </row>
    <row r="797" spans="8:33" s="51" customFormat="1">
      <c r="H797" s="71"/>
      <c r="K797" s="71"/>
      <c r="M797" s="86"/>
      <c r="P797" s="86"/>
      <c r="W797" s="92"/>
      <c r="X797" s="92"/>
      <c r="Y797" s="92"/>
      <c r="Z797" s="92"/>
      <c r="AA797" s="273"/>
      <c r="AB797" s="66"/>
      <c r="AD797" s="71"/>
      <c r="AE797" s="71"/>
      <c r="AF797" s="71"/>
      <c r="AG797" s="71"/>
    </row>
    <row r="798" spans="8:33" s="51" customFormat="1">
      <c r="H798" s="71"/>
      <c r="K798" s="71"/>
      <c r="M798" s="86"/>
      <c r="P798" s="86"/>
      <c r="W798" s="92"/>
      <c r="X798" s="92"/>
      <c r="Y798" s="92"/>
      <c r="Z798" s="92"/>
      <c r="AA798" s="273"/>
      <c r="AB798" s="66"/>
      <c r="AD798" s="71"/>
      <c r="AE798" s="71"/>
      <c r="AF798" s="71"/>
      <c r="AG798" s="71"/>
    </row>
    <row r="799" spans="8:33" s="51" customFormat="1">
      <c r="H799" s="71"/>
      <c r="K799" s="71"/>
      <c r="M799" s="86"/>
      <c r="P799" s="86"/>
      <c r="W799" s="92"/>
      <c r="X799" s="92"/>
      <c r="Y799" s="92"/>
      <c r="Z799" s="92"/>
      <c r="AA799" s="273"/>
      <c r="AB799" s="66"/>
      <c r="AD799" s="71"/>
      <c r="AE799" s="71"/>
      <c r="AF799" s="71"/>
      <c r="AG799" s="71"/>
    </row>
    <row r="800" spans="8:33" s="51" customFormat="1">
      <c r="H800" s="71"/>
      <c r="K800" s="71"/>
      <c r="M800" s="86"/>
      <c r="P800" s="86"/>
      <c r="W800" s="92"/>
      <c r="X800" s="92"/>
      <c r="Y800" s="92"/>
      <c r="Z800" s="92"/>
      <c r="AA800" s="273"/>
      <c r="AB800" s="66"/>
      <c r="AD800" s="71"/>
      <c r="AE800" s="71"/>
      <c r="AF800" s="71"/>
      <c r="AG800" s="71"/>
    </row>
    <row r="801" spans="8:33" s="51" customFormat="1">
      <c r="H801" s="71"/>
      <c r="K801" s="71"/>
      <c r="M801" s="86"/>
      <c r="P801" s="86"/>
      <c r="W801" s="92"/>
      <c r="X801" s="92"/>
      <c r="Y801" s="92"/>
      <c r="Z801" s="92"/>
      <c r="AA801" s="273"/>
      <c r="AB801" s="66"/>
      <c r="AD801" s="71"/>
      <c r="AE801" s="71"/>
      <c r="AF801" s="71"/>
      <c r="AG801" s="71"/>
    </row>
    <row r="802" spans="8:33" s="51" customFormat="1">
      <c r="H802" s="71"/>
      <c r="K802" s="71"/>
      <c r="M802" s="86"/>
      <c r="P802" s="86"/>
      <c r="W802" s="92"/>
      <c r="X802" s="92"/>
      <c r="Y802" s="92"/>
      <c r="Z802" s="92"/>
      <c r="AA802" s="273"/>
      <c r="AB802" s="66"/>
      <c r="AD802" s="71"/>
      <c r="AE802" s="71"/>
      <c r="AF802" s="71"/>
      <c r="AG802" s="71"/>
    </row>
    <row r="803" spans="8:33" s="51" customFormat="1">
      <c r="H803" s="71"/>
      <c r="K803" s="71"/>
      <c r="M803" s="86"/>
      <c r="P803" s="86"/>
      <c r="W803" s="92"/>
      <c r="X803" s="92"/>
      <c r="Y803" s="92"/>
      <c r="Z803" s="92"/>
      <c r="AA803" s="273"/>
      <c r="AB803" s="66"/>
      <c r="AD803" s="71"/>
      <c r="AE803" s="71"/>
      <c r="AF803" s="71"/>
      <c r="AG803" s="71"/>
    </row>
    <row r="804" spans="8:33" s="51" customFormat="1">
      <c r="H804" s="71"/>
      <c r="K804" s="71"/>
      <c r="M804" s="86"/>
      <c r="P804" s="86"/>
      <c r="W804" s="92"/>
      <c r="X804" s="92"/>
      <c r="Y804" s="92"/>
      <c r="Z804" s="92"/>
      <c r="AA804" s="273"/>
      <c r="AB804" s="66"/>
      <c r="AD804" s="71"/>
      <c r="AE804" s="71"/>
      <c r="AF804" s="71"/>
      <c r="AG804" s="71"/>
    </row>
    <row r="805" spans="8:33" s="51" customFormat="1">
      <c r="H805" s="71"/>
      <c r="K805" s="71"/>
      <c r="M805" s="86"/>
      <c r="P805" s="86"/>
      <c r="W805" s="92"/>
      <c r="X805" s="92"/>
      <c r="Y805" s="92"/>
      <c r="Z805" s="92"/>
      <c r="AA805" s="273"/>
      <c r="AB805" s="66"/>
      <c r="AD805" s="71"/>
      <c r="AE805" s="71"/>
      <c r="AF805" s="71"/>
      <c r="AG805" s="71"/>
    </row>
    <row r="806" spans="8:33" s="51" customFormat="1">
      <c r="H806" s="71"/>
      <c r="K806" s="71"/>
      <c r="M806" s="86"/>
      <c r="P806" s="86"/>
      <c r="W806" s="92"/>
      <c r="X806" s="92"/>
      <c r="Y806" s="92"/>
      <c r="Z806" s="92"/>
      <c r="AA806" s="273"/>
      <c r="AB806" s="66"/>
      <c r="AD806" s="71"/>
      <c r="AE806" s="71"/>
      <c r="AF806" s="71"/>
      <c r="AG806" s="71"/>
    </row>
    <row r="807" spans="8:33" s="51" customFormat="1">
      <c r="H807" s="71"/>
      <c r="K807" s="71"/>
      <c r="M807" s="86"/>
      <c r="P807" s="86"/>
      <c r="W807" s="92"/>
      <c r="X807" s="92"/>
      <c r="Y807" s="92"/>
      <c r="Z807" s="92"/>
      <c r="AA807" s="273"/>
      <c r="AB807" s="66"/>
      <c r="AD807" s="71"/>
      <c r="AE807" s="71"/>
      <c r="AF807" s="71"/>
      <c r="AG807" s="71"/>
    </row>
    <row r="808" spans="8:33" s="51" customFormat="1">
      <c r="H808" s="71"/>
      <c r="K808" s="71"/>
      <c r="M808" s="86"/>
      <c r="P808" s="86"/>
      <c r="W808" s="92"/>
      <c r="X808" s="92"/>
      <c r="Y808" s="92"/>
      <c r="Z808" s="92"/>
      <c r="AA808" s="273"/>
      <c r="AB808" s="66"/>
      <c r="AD808" s="71"/>
      <c r="AE808" s="71"/>
      <c r="AF808" s="71"/>
      <c r="AG808" s="71"/>
    </row>
    <row r="809" spans="8:33" s="51" customFormat="1">
      <c r="H809" s="71"/>
      <c r="K809" s="71"/>
      <c r="M809" s="86"/>
      <c r="P809" s="86"/>
      <c r="W809" s="92"/>
      <c r="X809" s="92"/>
      <c r="Y809" s="92"/>
      <c r="Z809" s="92"/>
      <c r="AA809" s="273"/>
      <c r="AB809" s="66"/>
      <c r="AD809" s="71"/>
      <c r="AE809" s="71"/>
      <c r="AF809" s="71"/>
      <c r="AG809" s="71"/>
    </row>
    <row r="810" spans="8:33" s="51" customFormat="1">
      <c r="H810" s="71"/>
      <c r="K810" s="71"/>
      <c r="M810" s="86"/>
      <c r="P810" s="86"/>
      <c r="W810" s="92"/>
      <c r="X810" s="92"/>
      <c r="Y810" s="92"/>
      <c r="Z810" s="92"/>
      <c r="AA810" s="273"/>
      <c r="AB810" s="66"/>
      <c r="AD810" s="71"/>
      <c r="AE810" s="71"/>
      <c r="AF810" s="71"/>
      <c r="AG810" s="71"/>
    </row>
    <row r="811" spans="8:33" s="51" customFormat="1">
      <c r="H811" s="71"/>
      <c r="K811" s="71"/>
      <c r="M811" s="86"/>
      <c r="P811" s="86"/>
      <c r="W811" s="92"/>
      <c r="X811" s="92"/>
      <c r="Y811" s="92"/>
      <c r="Z811" s="92"/>
      <c r="AA811" s="273"/>
      <c r="AB811" s="66"/>
      <c r="AD811" s="71"/>
      <c r="AE811" s="71"/>
      <c r="AF811" s="71"/>
      <c r="AG811" s="71"/>
    </row>
    <row r="812" spans="8:33" s="51" customFormat="1">
      <c r="H812" s="71"/>
      <c r="K812" s="71"/>
      <c r="M812" s="86"/>
      <c r="P812" s="86"/>
      <c r="W812" s="92"/>
      <c r="X812" s="92"/>
      <c r="Y812" s="92"/>
      <c r="Z812" s="92"/>
      <c r="AA812" s="273"/>
      <c r="AB812" s="66"/>
      <c r="AD812" s="71"/>
      <c r="AE812" s="71"/>
      <c r="AF812" s="71"/>
      <c r="AG812" s="71"/>
    </row>
    <row r="813" spans="8:33" s="51" customFormat="1">
      <c r="H813" s="71"/>
      <c r="K813" s="71"/>
      <c r="M813" s="86"/>
      <c r="P813" s="86"/>
      <c r="W813" s="92"/>
      <c r="X813" s="92"/>
      <c r="Y813" s="92"/>
      <c r="Z813" s="92"/>
      <c r="AA813" s="273"/>
      <c r="AB813" s="66"/>
      <c r="AD813" s="71"/>
      <c r="AE813" s="71"/>
      <c r="AF813" s="71"/>
      <c r="AG813" s="71"/>
    </row>
    <row r="814" spans="8:33" s="51" customFormat="1">
      <c r="H814" s="71"/>
      <c r="K814" s="71"/>
      <c r="M814" s="86"/>
      <c r="P814" s="86"/>
      <c r="W814" s="92"/>
      <c r="X814" s="92"/>
      <c r="Y814" s="92"/>
      <c r="Z814" s="92"/>
      <c r="AA814" s="273"/>
      <c r="AB814" s="66"/>
      <c r="AD814" s="71"/>
      <c r="AE814" s="71"/>
      <c r="AF814" s="71"/>
      <c r="AG814" s="71"/>
    </row>
    <row r="815" spans="8:33" s="51" customFormat="1">
      <c r="H815" s="71"/>
      <c r="K815" s="71"/>
      <c r="M815" s="86"/>
      <c r="P815" s="86"/>
      <c r="W815" s="92"/>
      <c r="X815" s="92"/>
      <c r="Y815" s="92"/>
      <c r="Z815" s="92"/>
      <c r="AA815" s="273"/>
      <c r="AB815" s="66"/>
      <c r="AD815" s="71"/>
      <c r="AE815" s="71"/>
      <c r="AF815" s="71"/>
      <c r="AG815" s="71"/>
    </row>
    <row r="816" spans="8:33" s="51" customFormat="1">
      <c r="H816" s="71"/>
      <c r="K816" s="71"/>
      <c r="M816" s="86"/>
      <c r="P816" s="86"/>
      <c r="W816" s="92"/>
      <c r="X816" s="92"/>
      <c r="Y816" s="92"/>
      <c r="Z816" s="92"/>
      <c r="AA816" s="273"/>
      <c r="AB816" s="66"/>
      <c r="AD816" s="71"/>
      <c r="AE816" s="71"/>
      <c r="AF816" s="71"/>
      <c r="AG816" s="71"/>
    </row>
    <row r="817" spans="8:33" s="51" customFormat="1">
      <c r="H817" s="71"/>
      <c r="K817" s="71"/>
      <c r="M817" s="86"/>
      <c r="P817" s="86"/>
      <c r="W817" s="92"/>
      <c r="X817" s="92"/>
      <c r="Y817" s="92"/>
      <c r="Z817" s="92"/>
      <c r="AA817" s="273"/>
      <c r="AB817" s="66"/>
      <c r="AD817" s="71"/>
      <c r="AE817" s="71"/>
      <c r="AF817" s="71"/>
      <c r="AG817" s="71"/>
    </row>
    <row r="818" spans="8:33" s="51" customFormat="1">
      <c r="H818" s="71"/>
      <c r="K818" s="71"/>
      <c r="M818" s="86"/>
      <c r="P818" s="86"/>
      <c r="W818" s="92"/>
      <c r="X818" s="92"/>
      <c r="Y818" s="92"/>
      <c r="Z818" s="92"/>
      <c r="AA818" s="273"/>
      <c r="AB818" s="66"/>
      <c r="AD818" s="71"/>
      <c r="AE818" s="71"/>
      <c r="AF818" s="71"/>
      <c r="AG818" s="71"/>
    </row>
    <row r="819" spans="8:33" s="51" customFormat="1">
      <c r="H819" s="71"/>
      <c r="K819" s="71"/>
      <c r="M819" s="86"/>
      <c r="P819" s="86"/>
      <c r="W819" s="92"/>
      <c r="X819" s="92"/>
      <c r="Y819" s="92"/>
      <c r="Z819" s="92"/>
      <c r="AA819" s="273"/>
      <c r="AB819" s="66"/>
      <c r="AD819" s="71"/>
      <c r="AE819" s="71"/>
      <c r="AF819" s="71"/>
      <c r="AG819" s="71"/>
    </row>
    <row r="820" spans="8:33" s="51" customFormat="1">
      <c r="H820" s="71"/>
      <c r="K820" s="71"/>
      <c r="M820" s="86"/>
      <c r="P820" s="86"/>
      <c r="W820" s="92"/>
      <c r="X820" s="92"/>
      <c r="Y820" s="92"/>
      <c r="Z820" s="92"/>
      <c r="AA820" s="273"/>
      <c r="AB820" s="66"/>
      <c r="AD820" s="71"/>
      <c r="AE820" s="71"/>
      <c r="AF820" s="71"/>
      <c r="AG820" s="71"/>
    </row>
    <row r="821" spans="8:33" s="51" customFormat="1">
      <c r="H821" s="71"/>
      <c r="K821" s="71"/>
      <c r="M821" s="86"/>
      <c r="P821" s="86"/>
      <c r="W821" s="92"/>
      <c r="X821" s="92"/>
      <c r="Y821" s="92"/>
      <c r="Z821" s="92"/>
      <c r="AA821" s="273"/>
      <c r="AB821" s="66"/>
      <c r="AD821" s="71"/>
      <c r="AE821" s="71"/>
      <c r="AF821" s="71"/>
      <c r="AG821" s="71"/>
    </row>
    <row r="822" spans="8:33" s="51" customFormat="1">
      <c r="H822" s="71"/>
      <c r="K822" s="71"/>
      <c r="M822" s="86"/>
      <c r="P822" s="86"/>
      <c r="W822" s="92"/>
      <c r="X822" s="92"/>
      <c r="Y822" s="92"/>
      <c r="Z822" s="92"/>
      <c r="AA822" s="273"/>
      <c r="AB822" s="66"/>
      <c r="AD822" s="71"/>
      <c r="AE822" s="71"/>
      <c r="AF822" s="71"/>
      <c r="AG822" s="71"/>
    </row>
    <row r="823" spans="8:33" s="51" customFormat="1">
      <c r="H823" s="71"/>
      <c r="K823" s="71"/>
      <c r="M823" s="86"/>
      <c r="P823" s="86"/>
      <c r="W823" s="92"/>
      <c r="X823" s="92"/>
      <c r="Y823" s="92"/>
      <c r="Z823" s="92"/>
      <c r="AA823" s="273"/>
      <c r="AB823" s="66"/>
      <c r="AD823" s="71"/>
      <c r="AE823" s="71"/>
      <c r="AF823" s="71"/>
      <c r="AG823" s="71"/>
    </row>
    <row r="824" spans="8:33" s="51" customFormat="1">
      <c r="H824" s="71"/>
      <c r="K824" s="71"/>
      <c r="M824" s="86"/>
      <c r="P824" s="86"/>
      <c r="W824" s="92"/>
      <c r="X824" s="92"/>
      <c r="Y824" s="92"/>
      <c r="Z824" s="92"/>
      <c r="AA824" s="273"/>
      <c r="AB824" s="66"/>
      <c r="AD824" s="71"/>
      <c r="AE824" s="71"/>
      <c r="AF824" s="71"/>
      <c r="AG824" s="71"/>
    </row>
    <row r="825" spans="8:33" s="51" customFormat="1">
      <c r="H825" s="71"/>
      <c r="K825" s="71"/>
      <c r="M825" s="86"/>
      <c r="P825" s="86"/>
      <c r="W825" s="92"/>
      <c r="X825" s="92"/>
      <c r="Y825" s="92"/>
      <c r="Z825" s="92"/>
      <c r="AA825" s="273"/>
      <c r="AB825" s="66"/>
      <c r="AD825" s="71"/>
      <c r="AE825" s="71"/>
      <c r="AF825" s="71"/>
      <c r="AG825" s="71"/>
    </row>
    <row r="826" spans="8:33" s="51" customFormat="1">
      <c r="H826" s="71"/>
      <c r="K826" s="71"/>
      <c r="M826" s="86"/>
      <c r="P826" s="86"/>
      <c r="W826" s="92"/>
      <c r="X826" s="92"/>
      <c r="Y826" s="92"/>
      <c r="Z826" s="92"/>
      <c r="AA826" s="273"/>
      <c r="AB826" s="66"/>
      <c r="AD826" s="71"/>
      <c r="AE826" s="71"/>
      <c r="AF826" s="71"/>
      <c r="AG826" s="71"/>
    </row>
    <row r="827" spans="8:33" s="51" customFormat="1">
      <c r="H827" s="71"/>
      <c r="K827" s="71"/>
      <c r="M827" s="86"/>
      <c r="P827" s="86"/>
      <c r="W827" s="92"/>
      <c r="X827" s="92"/>
      <c r="Y827" s="92"/>
      <c r="Z827" s="92"/>
      <c r="AA827" s="273"/>
      <c r="AB827" s="66"/>
      <c r="AD827" s="71"/>
      <c r="AE827" s="71"/>
      <c r="AF827" s="71"/>
      <c r="AG827" s="71"/>
    </row>
    <row r="828" spans="8:33" s="51" customFormat="1">
      <c r="H828" s="71"/>
      <c r="K828" s="71"/>
      <c r="M828" s="86"/>
      <c r="P828" s="86"/>
      <c r="W828" s="92"/>
      <c r="X828" s="92"/>
      <c r="Y828" s="92"/>
      <c r="Z828" s="92"/>
      <c r="AA828" s="273"/>
      <c r="AB828" s="66"/>
      <c r="AD828" s="71"/>
      <c r="AE828" s="71"/>
      <c r="AF828" s="71"/>
      <c r="AG828" s="71"/>
    </row>
    <row r="829" spans="8:33" s="51" customFormat="1">
      <c r="H829" s="71"/>
      <c r="K829" s="71"/>
      <c r="M829" s="86"/>
      <c r="P829" s="86"/>
      <c r="W829" s="92"/>
      <c r="X829" s="92"/>
      <c r="Y829" s="92"/>
      <c r="Z829" s="92"/>
      <c r="AA829" s="273"/>
      <c r="AB829" s="66"/>
      <c r="AD829" s="71"/>
      <c r="AE829" s="71"/>
      <c r="AF829" s="71"/>
      <c r="AG829" s="71"/>
    </row>
    <row r="830" spans="8:33" s="51" customFormat="1">
      <c r="H830" s="71"/>
      <c r="K830" s="71"/>
      <c r="M830" s="86"/>
      <c r="P830" s="86"/>
      <c r="W830" s="92"/>
      <c r="X830" s="92"/>
      <c r="Y830" s="92"/>
      <c r="Z830" s="92"/>
      <c r="AA830" s="273"/>
      <c r="AB830" s="66"/>
      <c r="AD830" s="71"/>
      <c r="AE830" s="71"/>
      <c r="AF830" s="71"/>
      <c r="AG830" s="71"/>
    </row>
    <row r="831" spans="8:33" s="51" customFormat="1">
      <c r="H831" s="71"/>
      <c r="K831" s="71"/>
      <c r="M831" s="86"/>
      <c r="P831" s="86"/>
      <c r="W831" s="92"/>
      <c r="X831" s="92"/>
      <c r="Y831" s="92"/>
      <c r="Z831" s="92"/>
      <c r="AA831" s="273"/>
      <c r="AB831" s="66"/>
      <c r="AD831" s="71"/>
      <c r="AE831" s="71"/>
      <c r="AF831" s="71"/>
      <c r="AG831" s="71"/>
    </row>
    <row r="832" spans="8:33" s="51" customFormat="1">
      <c r="H832" s="71"/>
      <c r="K832" s="71"/>
      <c r="M832" s="86"/>
      <c r="P832" s="86"/>
      <c r="W832" s="92"/>
      <c r="X832" s="92"/>
      <c r="Y832" s="92"/>
      <c r="Z832" s="92"/>
      <c r="AA832" s="273"/>
      <c r="AB832" s="66"/>
      <c r="AD832" s="71"/>
      <c r="AE832" s="71"/>
      <c r="AF832" s="71"/>
      <c r="AG832" s="71"/>
    </row>
    <row r="833" spans="8:33" s="51" customFormat="1">
      <c r="H833" s="71"/>
      <c r="K833" s="71"/>
      <c r="M833" s="86"/>
      <c r="P833" s="86"/>
      <c r="W833" s="92"/>
      <c r="X833" s="92"/>
      <c r="Y833" s="92"/>
      <c r="Z833" s="92"/>
      <c r="AA833" s="273"/>
      <c r="AB833" s="66"/>
      <c r="AD833" s="71"/>
      <c r="AE833" s="71"/>
      <c r="AF833" s="71"/>
      <c r="AG833" s="71"/>
    </row>
    <row r="834" spans="8:33" s="51" customFormat="1">
      <c r="H834" s="71"/>
      <c r="K834" s="71"/>
      <c r="M834" s="86"/>
      <c r="P834" s="86"/>
      <c r="W834" s="92"/>
      <c r="X834" s="92"/>
      <c r="Y834" s="92"/>
      <c r="Z834" s="92"/>
      <c r="AA834" s="273"/>
      <c r="AB834" s="66"/>
      <c r="AD834" s="71"/>
      <c r="AE834" s="71"/>
      <c r="AF834" s="71"/>
      <c r="AG834" s="71"/>
    </row>
    <row r="835" spans="8:33" s="51" customFormat="1">
      <c r="H835" s="71"/>
      <c r="K835" s="71"/>
      <c r="M835" s="86"/>
      <c r="P835" s="86"/>
      <c r="W835" s="92"/>
      <c r="X835" s="92"/>
      <c r="Y835" s="92"/>
      <c r="Z835" s="92"/>
      <c r="AA835" s="273"/>
      <c r="AB835" s="66"/>
      <c r="AD835" s="71"/>
      <c r="AE835" s="71"/>
      <c r="AF835" s="71"/>
      <c r="AG835" s="71"/>
    </row>
    <row r="836" spans="8:33" s="51" customFormat="1">
      <c r="H836" s="71"/>
      <c r="K836" s="71"/>
      <c r="M836" s="86"/>
      <c r="P836" s="86"/>
      <c r="W836" s="92"/>
      <c r="X836" s="92"/>
      <c r="Y836" s="92"/>
      <c r="Z836" s="92"/>
      <c r="AA836" s="273"/>
      <c r="AB836" s="66"/>
      <c r="AD836" s="71"/>
      <c r="AE836" s="71"/>
      <c r="AF836" s="71"/>
      <c r="AG836" s="71"/>
    </row>
    <row r="837" spans="8:33" s="51" customFormat="1">
      <c r="H837" s="71"/>
      <c r="K837" s="71"/>
      <c r="M837" s="86"/>
      <c r="P837" s="86"/>
      <c r="W837" s="92"/>
      <c r="X837" s="92"/>
      <c r="Y837" s="92"/>
      <c r="Z837" s="92"/>
      <c r="AA837" s="273"/>
      <c r="AB837" s="66"/>
      <c r="AD837" s="71"/>
      <c r="AE837" s="71"/>
      <c r="AF837" s="71"/>
      <c r="AG837" s="71"/>
    </row>
    <row r="838" spans="8:33" s="51" customFormat="1">
      <c r="H838" s="71"/>
      <c r="K838" s="71"/>
      <c r="M838" s="86"/>
      <c r="P838" s="86"/>
      <c r="W838" s="92"/>
      <c r="X838" s="92"/>
      <c r="Y838" s="92"/>
      <c r="Z838" s="92"/>
      <c r="AA838" s="273"/>
      <c r="AB838" s="66"/>
      <c r="AD838" s="71"/>
      <c r="AE838" s="71"/>
      <c r="AF838" s="71"/>
      <c r="AG838" s="71"/>
    </row>
    <row r="839" spans="8:33" s="51" customFormat="1">
      <c r="H839" s="71"/>
      <c r="K839" s="71"/>
      <c r="M839" s="86"/>
      <c r="P839" s="86"/>
      <c r="W839" s="92"/>
      <c r="X839" s="92"/>
      <c r="Y839" s="92"/>
      <c r="Z839" s="92"/>
      <c r="AA839" s="273"/>
      <c r="AB839" s="66"/>
      <c r="AD839" s="71"/>
      <c r="AE839" s="71"/>
      <c r="AF839" s="71"/>
      <c r="AG839" s="71"/>
    </row>
    <row r="840" spans="8:33" s="51" customFormat="1">
      <c r="H840" s="71"/>
      <c r="K840" s="71"/>
      <c r="M840" s="86"/>
      <c r="P840" s="86"/>
      <c r="W840" s="92"/>
      <c r="X840" s="92"/>
      <c r="Y840" s="92"/>
      <c r="Z840" s="92"/>
      <c r="AA840" s="273"/>
      <c r="AB840" s="66"/>
      <c r="AD840" s="71"/>
      <c r="AE840" s="71"/>
      <c r="AF840" s="71"/>
      <c r="AG840" s="71"/>
    </row>
    <row r="841" spans="8:33" s="51" customFormat="1">
      <c r="H841" s="71"/>
      <c r="K841" s="71"/>
      <c r="M841" s="86"/>
      <c r="P841" s="86"/>
      <c r="W841" s="92"/>
      <c r="X841" s="92"/>
      <c r="Y841" s="92"/>
      <c r="Z841" s="92"/>
      <c r="AA841" s="273"/>
      <c r="AB841" s="66"/>
      <c r="AD841" s="71"/>
      <c r="AE841" s="71"/>
      <c r="AF841" s="71"/>
      <c r="AG841" s="71"/>
    </row>
    <row r="842" spans="8:33" s="51" customFormat="1">
      <c r="H842" s="71"/>
      <c r="K842" s="71"/>
      <c r="M842" s="86"/>
      <c r="P842" s="86"/>
      <c r="W842" s="92"/>
      <c r="X842" s="92"/>
      <c r="Y842" s="92"/>
      <c r="Z842" s="92"/>
      <c r="AA842" s="273"/>
      <c r="AB842" s="66"/>
      <c r="AD842" s="71"/>
      <c r="AE842" s="71"/>
      <c r="AF842" s="71"/>
      <c r="AG842" s="71"/>
    </row>
    <row r="843" spans="8:33" s="51" customFormat="1">
      <c r="H843" s="71"/>
      <c r="K843" s="71"/>
      <c r="M843" s="86"/>
      <c r="P843" s="86"/>
      <c r="W843" s="92"/>
      <c r="X843" s="92"/>
      <c r="Y843" s="92"/>
      <c r="Z843" s="92"/>
      <c r="AA843" s="273"/>
      <c r="AB843" s="66"/>
      <c r="AD843" s="71"/>
      <c r="AE843" s="71"/>
      <c r="AF843" s="71"/>
      <c r="AG843" s="71"/>
    </row>
    <row r="844" spans="8:33" s="51" customFormat="1">
      <c r="H844" s="71"/>
      <c r="K844" s="71"/>
      <c r="M844" s="86"/>
      <c r="P844" s="86"/>
      <c r="W844" s="92"/>
      <c r="X844" s="92"/>
      <c r="Y844" s="92"/>
      <c r="Z844" s="92"/>
      <c r="AA844" s="273"/>
      <c r="AB844" s="66"/>
      <c r="AD844" s="71"/>
      <c r="AE844" s="71"/>
      <c r="AF844" s="71"/>
      <c r="AG844" s="71"/>
    </row>
    <row r="845" spans="8:33" s="51" customFormat="1">
      <c r="H845" s="71"/>
      <c r="K845" s="71"/>
      <c r="M845" s="86"/>
      <c r="P845" s="86"/>
      <c r="W845" s="92"/>
      <c r="X845" s="92"/>
      <c r="Y845" s="92"/>
      <c r="Z845" s="92"/>
      <c r="AA845" s="273"/>
      <c r="AB845" s="66"/>
      <c r="AD845" s="71"/>
      <c r="AE845" s="71"/>
      <c r="AF845" s="71"/>
      <c r="AG845" s="71"/>
    </row>
    <row r="846" spans="8:33" s="51" customFormat="1">
      <c r="H846" s="71"/>
      <c r="K846" s="71"/>
      <c r="M846" s="86"/>
      <c r="P846" s="86"/>
      <c r="W846" s="92"/>
      <c r="X846" s="92"/>
      <c r="Y846" s="92"/>
      <c r="Z846" s="92"/>
      <c r="AA846" s="273"/>
      <c r="AB846" s="66"/>
      <c r="AD846" s="71"/>
      <c r="AE846" s="71"/>
      <c r="AF846" s="71"/>
      <c r="AG846" s="71"/>
    </row>
    <row r="847" spans="8:33" s="51" customFormat="1">
      <c r="H847" s="71"/>
      <c r="K847" s="71"/>
      <c r="M847" s="86"/>
      <c r="P847" s="86"/>
      <c r="W847" s="92"/>
      <c r="X847" s="92"/>
      <c r="Y847" s="92"/>
      <c r="Z847" s="92"/>
      <c r="AA847" s="273"/>
      <c r="AB847" s="66"/>
      <c r="AD847" s="71"/>
      <c r="AE847" s="71"/>
      <c r="AF847" s="71"/>
      <c r="AG847" s="71"/>
    </row>
    <row r="848" spans="8:33" s="51" customFormat="1">
      <c r="H848" s="71"/>
      <c r="K848" s="71"/>
      <c r="M848" s="86"/>
      <c r="P848" s="86"/>
      <c r="W848" s="92"/>
      <c r="X848" s="92"/>
      <c r="Y848" s="92"/>
      <c r="Z848" s="92"/>
      <c r="AA848" s="273"/>
      <c r="AB848" s="66"/>
      <c r="AD848" s="71"/>
      <c r="AE848" s="71"/>
      <c r="AF848" s="71"/>
      <c r="AG848" s="71"/>
    </row>
    <row r="849" spans="8:33" s="51" customFormat="1">
      <c r="H849" s="71"/>
      <c r="K849" s="71"/>
      <c r="M849" s="86"/>
      <c r="P849" s="86"/>
      <c r="W849" s="92"/>
      <c r="X849" s="92"/>
      <c r="Y849" s="92"/>
      <c r="Z849" s="92"/>
      <c r="AA849" s="273"/>
      <c r="AB849" s="66"/>
      <c r="AD849" s="71"/>
      <c r="AE849" s="71"/>
      <c r="AF849" s="71"/>
      <c r="AG849" s="71"/>
    </row>
    <row r="850" spans="8:33" s="51" customFormat="1">
      <c r="H850" s="71"/>
      <c r="K850" s="71"/>
      <c r="M850" s="86"/>
      <c r="P850" s="86"/>
      <c r="W850" s="92"/>
      <c r="X850" s="92"/>
      <c r="Y850" s="92"/>
      <c r="Z850" s="92"/>
      <c r="AA850" s="273"/>
      <c r="AB850" s="66"/>
      <c r="AD850" s="71"/>
      <c r="AE850" s="71"/>
      <c r="AF850" s="71"/>
      <c r="AG850" s="71"/>
    </row>
    <row r="851" spans="8:33" s="51" customFormat="1">
      <c r="H851" s="71"/>
      <c r="K851" s="71"/>
      <c r="M851" s="86"/>
      <c r="P851" s="86"/>
      <c r="W851" s="92"/>
      <c r="X851" s="92"/>
      <c r="Y851" s="92"/>
      <c r="Z851" s="92"/>
      <c r="AA851" s="273"/>
      <c r="AB851" s="66"/>
      <c r="AD851" s="71"/>
      <c r="AE851" s="71"/>
      <c r="AF851" s="71"/>
      <c r="AG851" s="71"/>
    </row>
    <row r="852" spans="8:33" s="51" customFormat="1">
      <c r="H852" s="71"/>
      <c r="K852" s="71"/>
      <c r="M852" s="86"/>
      <c r="P852" s="86"/>
      <c r="W852" s="92"/>
      <c r="X852" s="92"/>
      <c r="Y852" s="92"/>
      <c r="Z852" s="92"/>
      <c r="AA852" s="273"/>
      <c r="AB852" s="66"/>
      <c r="AD852" s="71"/>
      <c r="AE852" s="71"/>
      <c r="AF852" s="71"/>
      <c r="AG852" s="71"/>
    </row>
    <row r="853" spans="8:33" s="51" customFormat="1">
      <c r="H853" s="71"/>
      <c r="K853" s="71"/>
      <c r="M853" s="86"/>
      <c r="P853" s="86"/>
      <c r="W853" s="92"/>
      <c r="X853" s="92"/>
      <c r="Y853" s="92"/>
      <c r="Z853" s="92"/>
      <c r="AA853" s="273"/>
      <c r="AB853" s="66"/>
      <c r="AD853" s="71"/>
      <c r="AE853" s="71"/>
      <c r="AF853" s="71"/>
      <c r="AG853" s="71"/>
    </row>
    <row r="854" spans="8:33" s="51" customFormat="1">
      <c r="H854" s="71"/>
      <c r="K854" s="71"/>
      <c r="M854" s="86"/>
      <c r="P854" s="86"/>
      <c r="W854" s="92"/>
      <c r="X854" s="92"/>
      <c r="Y854" s="92"/>
      <c r="Z854" s="92"/>
      <c r="AA854" s="273"/>
      <c r="AB854" s="66"/>
      <c r="AD854" s="71"/>
      <c r="AE854" s="71"/>
      <c r="AF854" s="71"/>
      <c r="AG854" s="71"/>
    </row>
    <row r="855" spans="8:33" s="51" customFormat="1">
      <c r="H855" s="71"/>
      <c r="K855" s="71"/>
      <c r="M855" s="86"/>
      <c r="P855" s="86"/>
      <c r="W855" s="92"/>
      <c r="X855" s="92"/>
      <c r="Y855" s="92"/>
      <c r="Z855" s="92"/>
      <c r="AA855" s="273"/>
      <c r="AB855" s="66"/>
      <c r="AD855" s="71"/>
      <c r="AE855" s="71"/>
      <c r="AF855" s="71"/>
      <c r="AG855" s="71"/>
    </row>
    <row r="856" spans="8:33" s="51" customFormat="1">
      <c r="H856" s="71"/>
      <c r="K856" s="71"/>
      <c r="M856" s="86"/>
      <c r="P856" s="86"/>
      <c r="W856" s="92"/>
      <c r="X856" s="92"/>
      <c r="Y856" s="92"/>
      <c r="Z856" s="92"/>
      <c r="AA856" s="273"/>
      <c r="AB856" s="66"/>
      <c r="AD856" s="71"/>
      <c r="AE856" s="71"/>
      <c r="AF856" s="71"/>
      <c r="AG856" s="71"/>
    </row>
    <row r="857" spans="8:33" s="51" customFormat="1">
      <c r="H857" s="71"/>
      <c r="K857" s="71"/>
      <c r="M857" s="86"/>
      <c r="P857" s="86"/>
      <c r="W857" s="92"/>
      <c r="X857" s="92"/>
      <c r="Y857" s="92"/>
      <c r="Z857" s="92"/>
      <c r="AA857" s="273"/>
      <c r="AB857" s="66"/>
      <c r="AD857" s="71"/>
      <c r="AE857" s="71"/>
      <c r="AF857" s="71"/>
      <c r="AG857" s="71"/>
    </row>
    <row r="858" spans="8:33" s="51" customFormat="1">
      <c r="H858" s="71"/>
      <c r="K858" s="71"/>
      <c r="M858" s="86"/>
      <c r="P858" s="86"/>
      <c r="W858" s="92"/>
      <c r="X858" s="92"/>
      <c r="Y858" s="92"/>
      <c r="Z858" s="92"/>
      <c r="AA858" s="273"/>
      <c r="AB858" s="66"/>
      <c r="AD858" s="71"/>
      <c r="AE858" s="71"/>
      <c r="AF858" s="71"/>
      <c r="AG858" s="71"/>
    </row>
    <row r="859" spans="8:33" s="51" customFormat="1">
      <c r="H859" s="71"/>
      <c r="K859" s="71"/>
      <c r="M859" s="86"/>
      <c r="P859" s="86"/>
      <c r="W859" s="92"/>
      <c r="X859" s="92"/>
      <c r="Y859" s="92"/>
      <c r="Z859" s="92"/>
      <c r="AA859" s="273"/>
      <c r="AB859" s="66"/>
      <c r="AD859" s="71"/>
      <c r="AE859" s="71"/>
      <c r="AF859" s="71"/>
      <c r="AG859" s="71"/>
    </row>
    <row r="860" spans="8:33" s="51" customFormat="1">
      <c r="H860" s="71"/>
      <c r="K860" s="71"/>
      <c r="M860" s="86"/>
      <c r="P860" s="86"/>
      <c r="W860" s="92"/>
      <c r="X860" s="92"/>
      <c r="Y860" s="92"/>
      <c r="Z860" s="92"/>
      <c r="AA860" s="273"/>
      <c r="AB860" s="66"/>
      <c r="AD860" s="71"/>
      <c r="AE860" s="71"/>
      <c r="AF860" s="71"/>
      <c r="AG860" s="71"/>
    </row>
    <row r="861" spans="8:33" s="51" customFormat="1">
      <c r="H861" s="71"/>
      <c r="K861" s="71"/>
      <c r="M861" s="86"/>
      <c r="P861" s="86"/>
      <c r="W861" s="92"/>
      <c r="X861" s="92"/>
      <c r="Y861" s="92"/>
      <c r="Z861" s="92"/>
      <c r="AA861" s="273"/>
      <c r="AB861" s="66"/>
      <c r="AD861" s="71"/>
      <c r="AE861" s="71"/>
      <c r="AF861" s="71"/>
      <c r="AG861" s="71"/>
    </row>
    <row r="862" spans="8:33" s="51" customFormat="1">
      <c r="H862" s="71"/>
      <c r="K862" s="71"/>
      <c r="M862" s="86"/>
      <c r="P862" s="86"/>
      <c r="W862" s="92"/>
      <c r="X862" s="92"/>
      <c r="Y862" s="92"/>
      <c r="Z862" s="92"/>
      <c r="AA862" s="273"/>
      <c r="AB862" s="66"/>
      <c r="AD862" s="71"/>
      <c r="AE862" s="71"/>
      <c r="AF862" s="71"/>
      <c r="AG862" s="71"/>
    </row>
    <row r="863" spans="8:33" s="51" customFormat="1">
      <c r="H863" s="71"/>
      <c r="K863" s="71"/>
      <c r="M863" s="86"/>
      <c r="P863" s="86"/>
      <c r="W863" s="92"/>
      <c r="X863" s="92"/>
      <c r="Y863" s="92"/>
      <c r="Z863" s="92"/>
      <c r="AA863" s="273"/>
      <c r="AB863" s="66"/>
      <c r="AD863" s="71"/>
      <c r="AE863" s="71"/>
      <c r="AF863" s="71"/>
      <c r="AG863" s="71"/>
    </row>
    <row r="864" spans="8:33" s="51" customFormat="1">
      <c r="H864" s="71"/>
      <c r="K864" s="71"/>
      <c r="M864" s="86"/>
      <c r="P864" s="86"/>
      <c r="W864" s="92"/>
      <c r="X864" s="92"/>
      <c r="Y864" s="92"/>
      <c r="Z864" s="92"/>
      <c r="AA864" s="273"/>
      <c r="AB864" s="66"/>
      <c r="AD864" s="71"/>
      <c r="AE864" s="71"/>
      <c r="AF864" s="71"/>
      <c r="AG864" s="71"/>
    </row>
    <row r="865" spans="8:33" s="51" customFormat="1">
      <c r="H865" s="71"/>
      <c r="K865" s="71"/>
      <c r="M865" s="86"/>
      <c r="P865" s="86"/>
      <c r="W865" s="92"/>
      <c r="X865" s="92"/>
      <c r="Y865" s="92"/>
      <c r="Z865" s="92"/>
      <c r="AA865" s="273"/>
      <c r="AB865" s="66"/>
      <c r="AD865" s="71"/>
      <c r="AE865" s="71"/>
      <c r="AF865" s="71"/>
      <c r="AG865" s="71"/>
    </row>
    <row r="866" spans="8:33" s="51" customFormat="1">
      <c r="H866" s="71"/>
      <c r="K866" s="71"/>
      <c r="M866" s="86"/>
      <c r="P866" s="86"/>
      <c r="W866" s="92"/>
      <c r="X866" s="92"/>
      <c r="Y866" s="92"/>
      <c r="Z866" s="92"/>
      <c r="AA866" s="273"/>
      <c r="AB866" s="66"/>
      <c r="AD866" s="71"/>
      <c r="AE866" s="71"/>
      <c r="AF866" s="71"/>
      <c r="AG866" s="71"/>
    </row>
    <row r="867" spans="8:33" s="51" customFormat="1">
      <c r="H867" s="71"/>
      <c r="K867" s="71"/>
      <c r="M867" s="86"/>
      <c r="P867" s="86"/>
      <c r="W867" s="92"/>
      <c r="X867" s="92"/>
      <c r="Y867" s="92"/>
      <c r="Z867" s="92"/>
      <c r="AA867" s="273"/>
      <c r="AB867" s="66"/>
      <c r="AD867" s="71"/>
      <c r="AE867" s="71"/>
      <c r="AF867" s="71"/>
      <c r="AG867" s="71"/>
    </row>
    <row r="868" spans="8:33" s="51" customFormat="1">
      <c r="H868" s="71"/>
      <c r="K868" s="71"/>
      <c r="M868" s="86"/>
      <c r="P868" s="86"/>
      <c r="W868" s="92"/>
      <c r="X868" s="92"/>
      <c r="Y868" s="92"/>
      <c r="Z868" s="92"/>
      <c r="AA868" s="273"/>
      <c r="AB868" s="66"/>
      <c r="AD868" s="71"/>
      <c r="AE868" s="71"/>
      <c r="AF868" s="71"/>
      <c r="AG868" s="71"/>
    </row>
    <row r="869" spans="8:33" s="51" customFormat="1">
      <c r="H869" s="71"/>
      <c r="K869" s="71"/>
      <c r="M869" s="86"/>
      <c r="P869" s="86"/>
      <c r="W869" s="92"/>
      <c r="X869" s="92"/>
      <c r="Y869" s="92"/>
      <c r="Z869" s="92"/>
      <c r="AA869" s="273"/>
      <c r="AB869" s="66"/>
      <c r="AD869" s="71"/>
      <c r="AE869" s="71"/>
      <c r="AF869" s="71"/>
      <c r="AG869" s="71"/>
    </row>
    <row r="870" spans="8:33" s="51" customFormat="1">
      <c r="H870" s="71"/>
      <c r="K870" s="71"/>
      <c r="M870" s="86"/>
      <c r="P870" s="86"/>
      <c r="W870" s="92"/>
      <c r="X870" s="92"/>
      <c r="Y870" s="92"/>
      <c r="Z870" s="92"/>
      <c r="AA870" s="273"/>
      <c r="AB870" s="66"/>
      <c r="AD870" s="71"/>
      <c r="AE870" s="71"/>
      <c r="AF870" s="71"/>
      <c r="AG870" s="71"/>
    </row>
    <row r="871" spans="8:33" s="51" customFormat="1">
      <c r="H871" s="71"/>
      <c r="K871" s="71"/>
      <c r="M871" s="86"/>
      <c r="P871" s="86"/>
      <c r="W871" s="92"/>
      <c r="X871" s="92"/>
      <c r="Y871" s="92"/>
      <c r="Z871" s="92"/>
      <c r="AA871" s="273"/>
      <c r="AB871" s="66"/>
      <c r="AD871" s="71"/>
      <c r="AE871" s="71"/>
      <c r="AF871" s="71"/>
      <c r="AG871" s="71"/>
    </row>
    <row r="872" spans="8:33" s="51" customFormat="1">
      <c r="H872" s="71"/>
      <c r="K872" s="71"/>
      <c r="M872" s="86"/>
      <c r="P872" s="86"/>
      <c r="W872" s="92"/>
      <c r="X872" s="92"/>
      <c r="Y872" s="92"/>
      <c r="Z872" s="92"/>
      <c r="AA872" s="273"/>
      <c r="AB872" s="66"/>
      <c r="AD872" s="71"/>
      <c r="AE872" s="71"/>
      <c r="AF872" s="71"/>
      <c r="AG872" s="71"/>
    </row>
    <row r="873" spans="8:33" s="51" customFormat="1">
      <c r="H873" s="71"/>
      <c r="K873" s="71"/>
      <c r="M873" s="86"/>
      <c r="P873" s="86"/>
      <c r="W873" s="92"/>
      <c r="X873" s="92"/>
      <c r="Y873" s="92"/>
      <c r="Z873" s="92"/>
      <c r="AA873" s="273"/>
      <c r="AB873" s="66"/>
      <c r="AD873" s="71"/>
      <c r="AE873" s="71"/>
      <c r="AF873" s="71"/>
      <c r="AG873" s="71"/>
    </row>
    <row r="874" spans="8:33" s="51" customFormat="1">
      <c r="H874" s="71"/>
      <c r="K874" s="71"/>
      <c r="M874" s="86"/>
      <c r="P874" s="86"/>
      <c r="W874" s="92"/>
      <c r="X874" s="92"/>
      <c r="Y874" s="92"/>
      <c r="Z874" s="92"/>
      <c r="AA874" s="273"/>
      <c r="AB874" s="66"/>
      <c r="AD874" s="71"/>
      <c r="AE874" s="71"/>
      <c r="AF874" s="71"/>
      <c r="AG874" s="71"/>
    </row>
    <row r="875" spans="8:33" s="51" customFormat="1">
      <c r="H875" s="71"/>
      <c r="K875" s="71"/>
      <c r="M875" s="86"/>
      <c r="P875" s="86"/>
      <c r="W875" s="92"/>
      <c r="X875" s="92"/>
      <c r="Y875" s="92"/>
      <c r="Z875" s="92"/>
      <c r="AA875" s="273"/>
      <c r="AB875" s="66"/>
      <c r="AD875" s="71"/>
      <c r="AE875" s="71"/>
      <c r="AF875" s="71"/>
      <c r="AG875" s="71"/>
    </row>
    <row r="876" spans="8:33" s="51" customFormat="1">
      <c r="H876" s="71"/>
      <c r="K876" s="71"/>
      <c r="M876" s="86"/>
      <c r="P876" s="86"/>
      <c r="W876" s="92"/>
      <c r="X876" s="92"/>
      <c r="Y876" s="92"/>
      <c r="Z876" s="92"/>
      <c r="AA876" s="273"/>
      <c r="AB876" s="66"/>
      <c r="AD876" s="71"/>
      <c r="AE876" s="71"/>
      <c r="AF876" s="71"/>
      <c r="AG876" s="71"/>
    </row>
    <row r="877" spans="8:33" s="51" customFormat="1">
      <c r="H877" s="71"/>
      <c r="K877" s="71"/>
      <c r="M877" s="86"/>
      <c r="P877" s="86"/>
      <c r="W877" s="92"/>
      <c r="X877" s="92"/>
      <c r="Y877" s="92"/>
      <c r="Z877" s="92"/>
      <c r="AA877" s="273"/>
      <c r="AB877" s="66"/>
      <c r="AD877" s="71"/>
      <c r="AE877" s="71"/>
      <c r="AF877" s="71"/>
      <c r="AG877" s="71"/>
    </row>
    <row r="878" spans="8:33" s="51" customFormat="1">
      <c r="H878" s="71"/>
      <c r="K878" s="71"/>
      <c r="M878" s="86"/>
      <c r="P878" s="86"/>
      <c r="W878" s="92"/>
      <c r="X878" s="92"/>
      <c r="Y878" s="92"/>
      <c r="Z878" s="92"/>
      <c r="AA878" s="273"/>
      <c r="AB878" s="66"/>
      <c r="AD878" s="71"/>
      <c r="AE878" s="71"/>
      <c r="AF878" s="71"/>
      <c r="AG878" s="71"/>
    </row>
    <row r="879" spans="8:33" s="51" customFormat="1">
      <c r="H879" s="71"/>
      <c r="K879" s="71"/>
      <c r="M879" s="86"/>
      <c r="P879" s="86"/>
      <c r="W879" s="92"/>
      <c r="X879" s="92"/>
      <c r="Y879" s="92"/>
      <c r="Z879" s="92"/>
      <c r="AA879" s="273"/>
      <c r="AB879" s="66"/>
      <c r="AD879" s="71"/>
      <c r="AE879" s="71"/>
      <c r="AF879" s="71"/>
      <c r="AG879" s="71"/>
    </row>
    <row r="880" spans="8:33" s="51" customFormat="1">
      <c r="H880" s="71"/>
      <c r="K880" s="71"/>
      <c r="M880" s="86"/>
      <c r="P880" s="86"/>
      <c r="W880" s="92"/>
      <c r="X880" s="92"/>
      <c r="Y880" s="92"/>
      <c r="Z880" s="92"/>
      <c r="AA880" s="273"/>
      <c r="AB880" s="66"/>
      <c r="AD880" s="71"/>
      <c r="AE880" s="71"/>
      <c r="AF880" s="71"/>
      <c r="AG880" s="71"/>
    </row>
    <row r="881" spans="8:33" s="51" customFormat="1">
      <c r="H881" s="71"/>
      <c r="K881" s="71"/>
      <c r="M881" s="86"/>
      <c r="P881" s="86"/>
      <c r="W881" s="92"/>
      <c r="X881" s="92"/>
      <c r="Y881" s="92"/>
      <c r="Z881" s="92"/>
      <c r="AA881" s="273"/>
      <c r="AB881" s="66"/>
      <c r="AD881" s="71"/>
      <c r="AE881" s="71"/>
      <c r="AF881" s="71"/>
      <c r="AG881" s="71"/>
    </row>
    <row r="882" spans="8:33" s="51" customFormat="1">
      <c r="H882" s="71"/>
      <c r="K882" s="71"/>
      <c r="M882" s="86"/>
      <c r="P882" s="86"/>
      <c r="W882" s="92"/>
      <c r="X882" s="92"/>
      <c r="Y882" s="92"/>
      <c r="Z882" s="92"/>
      <c r="AA882" s="273"/>
      <c r="AB882" s="66"/>
      <c r="AD882" s="71"/>
      <c r="AE882" s="71"/>
      <c r="AF882" s="71"/>
      <c r="AG882" s="71"/>
    </row>
    <row r="883" spans="8:33" s="51" customFormat="1">
      <c r="H883" s="71"/>
      <c r="K883" s="71"/>
      <c r="M883" s="86"/>
      <c r="P883" s="86"/>
      <c r="W883" s="92"/>
      <c r="X883" s="92"/>
      <c r="Y883" s="92"/>
      <c r="Z883" s="92"/>
      <c r="AA883" s="273"/>
      <c r="AB883" s="66"/>
      <c r="AD883" s="71"/>
      <c r="AE883" s="71"/>
      <c r="AF883" s="71"/>
      <c r="AG883" s="71"/>
    </row>
    <row r="884" spans="8:33" s="51" customFormat="1">
      <c r="H884" s="71"/>
      <c r="K884" s="71"/>
      <c r="M884" s="86"/>
      <c r="P884" s="86"/>
      <c r="W884" s="92"/>
      <c r="X884" s="92"/>
      <c r="Y884" s="92"/>
      <c r="Z884" s="92"/>
      <c r="AA884" s="273"/>
      <c r="AB884" s="66"/>
      <c r="AD884" s="71"/>
      <c r="AE884" s="71"/>
      <c r="AF884" s="71"/>
      <c r="AG884" s="71"/>
    </row>
    <row r="885" spans="8:33" s="51" customFormat="1">
      <c r="H885" s="71"/>
      <c r="K885" s="71"/>
      <c r="M885" s="86"/>
      <c r="P885" s="86"/>
      <c r="W885" s="92"/>
      <c r="X885" s="92"/>
      <c r="Y885" s="92"/>
      <c r="Z885" s="92"/>
      <c r="AA885" s="273"/>
      <c r="AB885" s="66"/>
      <c r="AD885" s="71"/>
      <c r="AE885" s="71"/>
      <c r="AF885" s="71"/>
      <c r="AG885" s="71"/>
    </row>
    <row r="886" spans="8:33" s="51" customFormat="1">
      <c r="H886" s="71"/>
      <c r="K886" s="71"/>
      <c r="M886" s="86"/>
      <c r="P886" s="86"/>
      <c r="W886" s="92"/>
      <c r="X886" s="92"/>
      <c r="Y886" s="92"/>
      <c r="Z886" s="92"/>
      <c r="AA886" s="273"/>
      <c r="AB886" s="66"/>
      <c r="AD886" s="71"/>
      <c r="AE886" s="71"/>
      <c r="AF886" s="71"/>
      <c r="AG886" s="71"/>
    </row>
    <row r="887" spans="8:33" s="51" customFormat="1">
      <c r="H887" s="71"/>
      <c r="K887" s="71"/>
      <c r="M887" s="86"/>
      <c r="P887" s="86"/>
      <c r="W887" s="92"/>
      <c r="X887" s="92"/>
      <c r="Y887" s="92"/>
      <c r="Z887" s="92"/>
      <c r="AA887" s="273"/>
      <c r="AB887" s="66"/>
      <c r="AD887" s="71"/>
      <c r="AE887" s="71"/>
      <c r="AF887" s="71"/>
      <c r="AG887" s="71"/>
    </row>
    <row r="888" spans="8:33" s="51" customFormat="1">
      <c r="H888" s="71"/>
      <c r="K888" s="71"/>
      <c r="M888" s="86"/>
      <c r="P888" s="86"/>
      <c r="W888" s="92"/>
      <c r="X888" s="92"/>
      <c r="Y888" s="92"/>
      <c r="Z888" s="92"/>
      <c r="AA888" s="273"/>
      <c r="AB888" s="66"/>
      <c r="AD888" s="71"/>
      <c r="AE888" s="71"/>
      <c r="AF888" s="71"/>
      <c r="AG888" s="71"/>
    </row>
    <row r="889" spans="8:33" s="51" customFormat="1">
      <c r="H889" s="71"/>
      <c r="K889" s="71"/>
      <c r="M889" s="86"/>
      <c r="P889" s="86"/>
      <c r="W889" s="92"/>
      <c r="X889" s="92"/>
      <c r="Y889" s="92"/>
      <c r="Z889" s="92"/>
      <c r="AA889" s="273"/>
      <c r="AB889" s="66"/>
      <c r="AD889" s="71"/>
      <c r="AE889" s="71"/>
      <c r="AF889" s="71"/>
      <c r="AG889" s="71"/>
    </row>
    <row r="890" spans="8:33" s="51" customFormat="1">
      <c r="H890" s="71"/>
      <c r="K890" s="71"/>
      <c r="M890" s="86"/>
      <c r="P890" s="86"/>
      <c r="W890" s="92"/>
      <c r="X890" s="92"/>
      <c r="Y890" s="92"/>
      <c r="Z890" s="92"/>
      <c r="AA890" s="273"/>
      <c r="AB890" s="66"/>
      <c r="AD890" s="71"/>
      <c r="AE890" s="71"/>
      <c r="AF890" s="71"/>
      <c r="AG890" s="71"/>
    </row>
    <row r="891" spans="8:33" s="51" customFormat="1">
      <c r="H891" s="71"/>
      <c r="K891" s="71"/>
      <c r="M891" s="86"/>
      <c r="P891" s="86"/>
      <c r="W891" s="92"/>
      <c r="X891" s="92"/>
      <c r="Y891" s="92"/>
      <c r="Z891" s="92"/>
      <c r="AA891" s="273"/>
      <c r="AB891" s="66"/>
      <c r="AD891" s="71"/>
      <c r="AE891" s="71"/>
      <c r="AF891" s="71"/>
      <c r="AG891" s="71"/>
    </row>
    <row r="892" spans="8:33" s="51" customFormat="1">
      <c r="H892" s="71"/>
      <c r="K892" s="71"/>
      <c r="M892" s="86"/>
      <c r="P892" s="86"/>
      <c r="W892" s="92"/>
      <c r="X892" s="92"/>
      <c r="Y892" s="92"/>
      <c r="Z892" s="92"/>
      <c r="AA892" s="273"/>
      <c r="AB892" s="66"/>
      <c r="AD892" s="71"/>
      <c r="AE892" s="71"/>
      <c r="AF892" s="71"/>
      <c r="AG892" s="71"/>
    </row>
    <row r="893" spans="8:33" s="51" customFormat="1">
      <c r="H893" s="71"/>
      <c r="K893" s="71"/>
      <c r="M893" s="86"/>
      <c r="P893" s="86"/>
      <c r="W893" s="92"/>
      <c r="X893" s="92"/>
      <c r="Y893" s="92"/>
      <c r="Z893" s="92"/>
      <c r="AA893" s="273"/>
      <c r="AB893" s="66"/>
      <c r="AD893" s="71"/>
      <c r="AE893" s="71"/>
      <c r="AF893" s="71"/>
      <c r="AG893" s="71"/>
    </row>
    <row r="894" spans="8:33" s="51" customFormat="1">
      <c r="H894" s="71"/>
      <c r="K894" s="71"/>
      <c r="M894" s="86"/>
      <c r="P894" s="86"/>
      <c r="W894" s="92"/>
      <c r="X894" s="92"/>
      <c r="Y894" s="92"/>
      <c r="Z894" s="92"/>
      <c r="AA894" s="273"/>
      <c r="AB894" s="66"/>
      <c r="AD894" s="71"/>
      <c r="AE894" s="71"/>
      <c r="AF894" s="71"/>
      <c r="AG894" s="71"/>
    </row>
    <row r="895" spans="8:33" s="51" customFormat="1">
      <c r="H895" s="71"/>
      <c r="K895" s="71"/>
      <c r="M895" s="86"/>
      <c r="P895" s="86"/>
      <c r="W895" s="92"/>
      <c r="X895" s="92"/>
      <c r="Y895" s="92"/>
      <c r="Z895" s="92"/>
      <c r="AA895" s="273"/>
      <c r="AB895" s="66"/>
      <c r="AD895" s="71"/>
      <c r="AE895" s="71"/>
      <c r="AF895" s="71"/>
      <c r="AG895" s="71"/>
    </row>
    <row r="896" spans="8:33" s="51" customFormat="1">
      <c r="H896" s="71"/>
      <c r="K896" s="71"/>
      <c r="M896" s="86"/>
      <c r="P896" s="86"/>
      <c r="W896" s="92"/>
      <c r="X896" s="92"/>
      <c r="Y896" s="92"/>
      <c r="Z896" s="92"/>
      <c r="AA896" s="273"/>
      <c r="AB896" s="66"/>
      <c r="AD896" s="71"/>
      <c r="AE896" s="71"/>
      <c r="AF896" s="71"/>
      <c r="AG896" s="71"/>
    </row>
    <row r="897" spans="8:33" s="51" customFormat="1">
      <c r="H897" s="71"/>
      <c r="K897" s="71"/>
      <c r="M897" s="86"/>
      <c r="P897" s="86"/>
      <c r="W897" s="92"/>
      <c r="X897" s="92"/>
      <c r="Y897" s="92"/>
      <c r="Z897" s="92"/>
      <c r="AA897" s="273"/>
      <c r="AB897" s="66"/>
      <c r="AD897" s="71"/>
      <c r="AE897" s="71"/>
      <c r="AF897" s="71"/>
      <c r="AG897" s="71"/>
    </row>
    <row r="898" spans="8:33" s="51" customFormat="1">
      <c r="H898" s="71"/>
      <c r="K898" s="71"/>
      <c r="M898" s="86"/>
      <c r="P898" s="86"/>
      <c r="W898" s="92"/>
      <c r="X898" s="92"/>
      <c r="Y898" s="92"/>
      <c r="Z898" s="92"/>
      <c r="AA898" s="273"/>
      <c r="AB898" s="66"/>
      <c r="AD898" s="71"/>
      <c r="AE898" s="71"/>
      <c r="AF898" s="71"/>
      <c r="AG898" s="71"/>
    </row>
    <row r="899" spans="8:33" s="51" customFormat="1">
      <c r="H899" s="71"/>
      <c r="K899" s="71"/>
      <c r="M899" s="86"/>
      <c r="P899" s="86"/>
      <c r="W899" s="92"/>
      <c r="X899" s="92"/>
      <c r="Y899" s="92"/>
      <c r="Z899" s="92"/>
      <c r="AA899" s="273"/>
      <c r="AB899" s="66"/>
      <c r="AD899" s="71"/>
      <c r="AE899" s="71"/>
      <c r="AF899" s="71"/>
      <c r="AG899" s="71"/>
    </row>
    <row r="900" spans="8:33" s="51" customFormat="1">
      <c r="H900" s="71"/>
      <c r="K900" s="71"/>
      <c r="M900" s="86"/>
      <c r="P900" s="86"/>
      <c r="W900" s="92"/>
      <c r="X900" s="92"/>
      <c r="Y900" s="92"/>
      <c r="Z900" s="92"/>
      <c r="AA900" s="273"/>
      <c r="AB900" s="66"/>
      <c r="AD900" s="71"/>
      <c r="AE900" s="71"/>
      <c r="AF900" s="71"/>
      <c r="AG900" s="71"/>
    </row>
    <row r="901" spans="8:33" s="51" customFormat="1">
      <c r="H901" s="71"/>
      <c r="K901" s="71"/>
      <c r="M901" s="86"/>
      <c r="P901" s="86"/>
      <c r="W901" s="92"/>
      <c r="X901" s="92"/>
      <c r="Y901" s="92"/>
      <c r="Z901" s="92"/>
      <c r="AA901" s="273"/>
      <c r="AB901" s="66"/>
      <c r="AD901" s="71"/>
      <c r="AE901" s="71"/>
      <c r="AF901" s="71"/>
      <c r="AG901" s="71"/>
    </row>
    <row r="902" spans="8:33" s="51" customFormat="1">
      <c r="H902" s="71"/>
      <c r="K902" s="71"/>
      <c r="M902" s="86"/>
      <c r="P902" s="86"/>
      <c r="W902" s="92"/>
      <c r="X902" s="92"/>
      <c r="Y902" s="92"/>
      <c r="Z902" s="92"/>
      <c r="AA902" s="273"/>
      <c r="AB902" s="66"/>
      <c r="AD902" s="71"/>
      <c r="AE902" s="71"/>
      <c r="AF902" s="71"/>
      <c r="AG902" s="71"/>
    </row>
    <row r="903" spans="8:33" s="51" customFormat="1">
      <c r="H903" s="71"/>
      <c r="K903" s="71"/>
      <c r="M903" s="86"/>
      <c r="P903" s="86"/>
      <c r="W903" s="92"/>
      <c r="X903" s="92"/>
      <c r="Y903" s="92"/>
      <c r="Z903" s="92"/>
      <c r="AA903" s="273"/>
      <c r="AB903" s="66"/>
      <c r="AD903" s="71"/>
      <c r="AE903" s="71"/>
      <c r="AF903" s="71"/>
      <c r="AG903" s="71"/>
    </row>
    <row r="904" spans="8:33" s="51" customFormat="1">
      <c r="H904" s="71"/>
      <c r="K904" s="71"/>
      <c r="M904" s="86"/>
      <c r="P904" s="86"/>
      <c r="W904" s="92"/>
      <c r="X904" s="92"/>
      <c r="Y904" s="92"/>
      <c r="Z904" s="92"/>
      <c r="AA904" s="273"/>
      <c r="AB904" s="66"/>
      <c r="AD904" s="71"/>
      <c r="AE904" s="71"/>
      <c r="AF904" s="71"/>
      <c r="AG904" s="71"/>
    </row>
    <row r="905" spans="8:33" s="51" customFormat="1">
      <c r="H905" s="71"/>
      <c r="K905" s="71"/>
      <c r="M905" s="86"/>
      <c r="P905" s="86"/>
      <c r="W905" s="92"/>
      <c r="X905" s="92"/>
      <c r="Y905" s="92"/>
      <c r="Z905" s="92"/>
      <c r="AA905" s="273"/>
      <c r="AB905" s="66"/>
      <c r="AD905" s="71"/>
      <c r="AE905" s="71"/>
      <c r="AF905" s="71"/>
      <c r="AG905" s="71"/>
    </row>
    <row r="906" spans="8:33" s="51" customFormat="1">
      <c r="H906" s="71"/>
      <c r="K906" s="71"/>
      <c r="M906" s="86"/>
      <c r="P906" s="86"/>
      <c r="W906" s="92"/>
      <c r="X906" s="92"/>
      <c r="Y906" s="92"/>
      <c r="Z906" s="92"/>
      <c r="AA906" s="273"/>
      <c r="AB906" s="66"/>
      <c r="AD906" s="71"/>
      <c r="AE906" s="71"/>
      <c r="AF906" s="71"/>
      <c r="AG906" s="71"/>
    </row>
    <row r="907" spans="8:33" s="51" customFormat="1">
      <c r="H907" s="71"/>
      <c r="K907" s="71"/>
      <c r="M907" s="86"/>
      <c r="P907" s="86"/>
      <c r="W907" s="92"/>
      <c r="X907" s="92"/>
      <c r="Y907" s="92"/>
      <c r="Z907" s="92"/>
      <c r="AA907" s="273"/>
      <c r="AB907" s="66"/>
      <c r="AD907" s="71"/>
      <c r="AE907" s="71"/>
      <c r="AF907" s="71"/>
      <c r="AG907" s="71"/>
    </row>
    <row r="908" spans="8:33" s="51" customFormat="1">
      <c r="H908" s="71"/>
      <c r="K908" s="71"/>
      <c r="M908" s="86"/>
      <c r="P908" s="86"/>
      <c r="W908" s="92"/>
      <c r="X908" s="92"/>
      <c r="Y908" s="92"/>
      <c r="Z908" s="92"/>
      <c r="AA908" s="273"/>
      <c r="AB908" s="66"/>
      <c r="AD908" s="71"/>
      <c r="AE908" s="71"/>
      <c r="AF908" s="71"/>
      <c r="AG908" s="71"/>
    </row>
    <row r="909" spans="8:33" s="51" customFormat="1">
      <c r="H909" s="71"/>
      <c r="K909" s="71"/>
      <c r="M909" s="86"/>
      <c r="P909" s="86"/>
      <c r="W909" s="92"/>
      <c r="X909" s="92"/>
      <c r="Y909" s="92"/>
      <c r="Z909" s="92"/>
      <c r="AA909" s="273"/>
      <c r="AB909" s="66"/>
      <c r="AD909" s="71"/>
      <c r="AE909" s="71"/>
      <c r="AF909" s="71"/>
      <c r="AG909" s="71"/>
    </row>
    <row r="910" spans="8:33" s="51" customFormat="1">
      <c r="H910" s="71"/>
      <c r="K910" s="71"/>
      <c r="M910" s="86"/>
      <c r="P910" s="86"/>
      <c r="W910" s="92"/>
      <c r="X910" s="92"/>
      <c r="Y910" s="92"/>
      <c r="Z910" s="92"/>
      <c r="AA910" s="273"/>
      <c r="AB910" s="66"/>
      <c r="AD910" s="71"/>
      <c r="AE910" s="71"/>
      <c r="AF910" s="71"/>
      <c r="AG910" s="71"/>
    </row>
    <row r="911" spans="8:33" s="51" customFormat="1">
      <c r="H911" s="71"/>
      <c r="K911" s="71"/>
      <c r="M911" s="86"/>
      <c r="P911" s="86"/>
      <c r="W911" s="92"/>
      <c r="X911" s="92"/>
      <c r="Y911" s="92"/>
      <c r="Z911" s="92"/>
      <c r="AA911" s="273"/>
      <c r="AB911" s="66"/>
      <c r="AD911" s="71"/>
      <c r="AE911" s="71"/>
      <c r="AF911" s="71"/>
      <c r="AG911" s="71"/>
    </row>
    <row r="912" spans="8:33" s="51" customFormat="1">
      <c r="H912" s="71"/>
      <c r="K912" s="71"/>
      <c r="M912" s="86"/>
      <c r="P912" s="86"/>
      <c r="W912" s="92"/>
      <c r="X912" s="92"/>
      <c r="Y912" s="92"/>
      <c r="Z912" s="92"/>
      <c r="AA912" s="273"/>
      <c r="AB912" s="66"/>
      <c r="AD912" s="71"/>
      <c r="AE912" s="71"/>
      <c r="AF912" s="71"/>
      <c r="AG912" s="71"/>
    </row>
    <row r="913" spans="8:33" s="51" customFormat="1">
      <c r="H913" s="71"/>
      <c r="K913" s="71"/>
      <c r="M913" s="86"/>
      <c r="P913" s="86"/>
      <c r="W913" s="92"/>
      <c r="X913" s="92"/>
      <c r="Y913" s="92"/>
      <c r="Z913" s="92"/>
      <c r="AA913" s="273"/>
      <c r="AB913" s="66"/>
      <c r="AD913" s="71"/>
      <c r="AE913" s="71"/>
      <c r="AF913" s="71"/>
      <c r="AG913" s="71"/>
    </row>
    <row r="914" spans="8:33" s="51" customFormat="1">
      <c r="H914" s="71"/>
      <c r="K914" s="71"/>
      <c r="M914" s="86"/>
      <c r="P914" s="86"/>
      <c r="W914" s="92"/>
      <c r="X914" s="92"/>
      <c r="Y914" s="92"/>
      <c r="Z914" s="92"/>
      <c r="AA914" s="273"/>
      <c r="AB914" s="66"/>
      <c r="AD914" s="71"/>
      <c r="AE914" s="71"/>
      <c r="AF914" s="71"/>
      <c r="AG914" s="71"/>
    </row>
    <row r="915" spans="8:33" s="51" customFormat="1">
      <c r="H915" s="71"/>
      <c r="K915" s="71"/>
      <c r="M915" s="86"/>
      <c r="P915" s="86"/>
      <c r="W915" s="92"/>
      <c r="X915" s="92"/>
      <c r="Y915" s="92"/>
      <c r="Z915" s="92"/>
      <c r="AA915" s="273"/>
      <c r="AB915" s="66"/>
      <c r="AD915" s="71"/>
      <c r="AE915" s="71"/>
      <c r="AF915" s="71"/>
      <c r="AG915" s="71"/>
    </row>
    <row r="916" spans="8:33" s="51" customFormat="1">
      <c r="H916" s="71"/>
      <c r="K916" s="71"/>
      <c r="M916" s="86"/>
      <c r="P916" s="86"/>
      <c r="W916" s="92"/>
      <c r="X916" s="92"/>
      <c r="Y916" s="92"/>
      <c r="Z916" s="92"/>
      <c r="AA916" s="273"/>
      <c r="AB916" s="66"/>
      <c r="AD916" s="71"/>
      <c r="AE916" s="71"/>
      <c r="AF916" s="71"/>
      <c r="AG916" s="71"/>
    </row>
    <row r="917" spans="8:33" s="51" customFormat="1">
      <c r="H917" s="71"/>
      <c r="K917" s="71"/>
      <c r="M917" s="86"/>
      <c r="P917" s="86"/>
      <c r="W917" s="92"/>
      <c r="X917" s="92"/>
      <c r="Y917" s="92"/>
      <c r="Z917" s="92"/>
      <c r="AA917" s="273"/>
      <c r="AB917" s="66"/>
      <c r="AD917" s="71"/>
      <c r="AE917" s="71"/>
      <c r="AF917" s="71"/>
      <c r="AG917" s="71"/>
    </row>
    <row r="918" spans="8:33" s="51" customFormat="1">
      <c r="H918" s="71"/>
      <c r="K918" s="71"/>
      <c r="M918" s="86"/>
      <c r="P918" s="86"/>
      <c r="W918" s="92"/>
      <c r="X918" s="92"/>
      <c r="Y918" s="92"/>
      <c r="Z918" s="92"/>
      <c r="AA918" s="273"/>
      <c r="AB918" s="66"/>
      <c r="AD918" s="71"/>
      <c r="AE918" s="71"/>
      <c r="AF918" s="71"/>
      <c r="AG918" s="71"/>
    </row>
    <row r="919" spans="8:33" s="51" customFormat="1">
      <c r="H919" s="71"/>
      <c r="K919" s="71"/>
      <c r="M919" s="86"/>
      <c r="P919" s="86"/>
      <c r="W919" s="92"/>
      <c r="X919" s="92"/>
      <c r="Y919" s="92"/>
      <c r="Z919" s="92"/>
      <c r="AA919" s="273"/>
      <c r="AB919" s="66"/>
      <c r="AD919" s="71"/>
      <c r="AE919" s="71"/>
      <c r="AF919" s="71"/>
      <c r="AG919" s="71"/>
    </row>
    <row r="920" spans="8:33" s="51" customFormat="1">
      <c r="H920" s="71"/>
      <c r="K920" s="71"/>
      <c r="M920" s="86"/>
      <c r="P920" s="86"/>
      <c r="W920" s="92"/>
      <c r="X920" s="92"/>
      <c r="Y920" s="92"/>
      <c r="Z920" s="92"/>
      <c r="AA920" s="273"/>
      <c r="AB920" s="66"/>
      <c r="AD920" s="71"/>
      <c r="AE920" s="71"/>
      <c r="AF920" s="71"/>
      <c r="AG920" s="71"/>
    </row>
    <row r="921" spans="8:33" s="51" customFormat="1">
      <c r="H921" s="71"/>
      <c r="K921" s="71"/>
      <c r="M921" s="86"/>
      <c r="P921" s="86"/>
      <c r="W921" s="92"/>
      <c r="X921" s="92"/>
      <c r="Y921" s="92"/>
      <c r="Z921" s="92"/>
      <c r="AA921" s="273"/>
      <c r="AB921" s="66"/>
      <c r="AD921" s="71"/>
      <c r="AE921" s="71"/>
      <c r="AF921" s="71"/>
      <c r="AG921" s="71"/>
    </row>
    <row r="922" spans="8:33" s="51" customFormat="1">
      <c r="H922" s="71"/>
      <c r="K922" s="71"/>
      <c r="M922" s="86"/>
      <c r="P922" s="86"/>
      <c r="W922" s="92"/>
      <c r="X922" s="92"/>
      <c r="Y922" s="92"/>
      <c r="Z922" s="92"/>
      <c r="AA922" s="273"/>
      <c r="AB922" s="66"/>
      <c r="AD922" s="71"/>
      <c r="AE922" s="71"/>
      <c r="AF922" s="71"/>
      <c r="AG922" s="71"/>
    </row>
    <row r="923" spans="8:33" s="51" customFormat="1">
      <c r="H923" s="71"/>
      <c r="K923" s="71"/>
      <c r="M923" s="86"/>
      <c r="P923" s="86"/>
      <c r="W923" s="92"/>
      <c r="X923" s="92"/>
      <c r="Y923" s="92"/>
      <c r="Z923" s="92"/>
      <c r="AA923" s="273"/>
      <c r="AB923" s="66"/>
      <c r="AD923" s="71"/>
      <c r="AE923" s="71"/>
      <c r="AF923" s="71"/>
      <c r="AG923" s="71"/>
    </row>
    <row r="924" spans="8:33" s="51" customFormat="1">
      <c r="H924" s="71"/>
      <c r="K924" s="71"/>
      <c r="M924" s="86"/>
      <c r="P924" s="86"/>
      <c r="W924" s="92"/>
      <c r="X924" s="92"/>
      <c r="Y924" s="92"/>
      <c r="Z924" s="92"/>
      <c r="AA924" s="273"/>
      <c r="AB924" s="66"/>
      <c r="AD924" s="71"/>
      <c r="AE924" s="71"/>
      <c r="AF924" s="71"/>
      <c r="AG924" s="71"/>
    </row>
    <row r="925" spans="8:33" s="51" customFormat="1">
      <c r="H925" s="71"/>
      <c r="K925" s="71"/>
      <c r="M925" s="86"/>
      <c r="P925" s="86"/>
      <c r="W925" s="92"/>
      <c r="X925" s="92"/>
      <c r="Y925" s="92"/>
      <c r="Z925" s="92"/>
      <c r="AA925" s="273"/>
      <c r="AB925" s="66"/>
      <c r="AD925" s="71"/>
      <c r="AE925" s="71"/>
      <c r="AF925" s="71"/>
      <c r="AG925" s="71"/>
    </row>
    <row r="926" spans="8:33" s="51" customFormat="1">
      <c r="H926" s="71"/>
      <c r="K926" s="71"/>
      <c r="M926" s="86"/>
      <c r="P926" s="86"/>
      <c r="W926" s="92"/>
      <c r="X926" s="92"/>
      <c r="Y926" s="92"/>
      <c r="Z926" s="92"/>
      <c r="AA926" s="273"/>
      <c r="AB926" s="66"/>
      <c r="AD926" s="71"/>
      <c r="AE926" s="71"/>
      <c r="AF926" s="71"/>
      <c r="AG926" s="71"/>
    </row>
    <row r="927" spans="8:33" s="51" customFormat="1">
      <c r="H927" s="71"/>
      <c r="K927" s="71"/>
      <c r="M927" s="86"/>
      <c r="P927" s="86"/>
      <c r="W927" s="92"/>
      <c r="X927" s="92"/>
      <c r="Y927" s="92"/>
      <c r="Z927" s="92"/>
      <c r="AA927" s="273"/>
      <c r="AB927" s="66"/>
      <c r="AD927" s="71"/>
      <c r="AE927" s="71"/>
      <c r="AF927" s="71"/>
      <c r="AG927" s="71"/>
    </row>
  </sheetData>
  <sheetProtection selectLockedCells="1"/>
  <mergeCells count="26">
    <mergeCell ref="W9:W10"/>
    <mergeCell ref="AF9:AF10"/>
    <mergeCell ref="AG9:AG10"/>
    <mergeCell ref="AH9:AH10"/>
    <mergeCell ref="X9:X10"/>
    <mergeCell ref="Y9:Y10"/>
    <mergeCell ref="Z9:Z10"/>
    <mergeCell ref="AA9:AA10"/>
    <mergeCell ref="AB9:AB10"/>
    <mergeCell ref="AD9:AD10"/>
    <mergeCell ref="AE9:AE10"/>
    <mergeCell ref="B1:M1"/>
    <mergeCell ref="B2:M2"/>
    <mergeCell ref="B6:C6"/>
    <mergeCell ref="Q8:U8"/>
    <mergeCell ref="B9:F9"/>
    <mergeCell ref="G9:H9"/>
    <mergeCell ref="K9:M9"/>
    <mergeCell ref="N9:P9"/>
    <mergeCell ref="Q9:Q10"/>
    <mergeCell ref="R9:R10"/>
    <mergeCell ref="S9:S10"/>
    <mergeCell ref="T9:T10"/>
    <mergeCell ref="U9:U10"/>
    <mergeCell ref="B4:M4"/>
    <mergeCell ref="I9:J9"/>
  </mergeCells>
  <conditionalFormatting sqref="H13">
    <cfRule type="expression" dxfId="55" priority="12">
      <formula>#REF!="Active"</formula>
    </cfRule>
  </conditionalFormatting>
  <conditionalFormatting sqref="H14:H18">
    <cfRule type="expression" dxfId="54" priority="11">
      <formula>#REF!="Active"</formula>
    </cfRule>
  </conditionalFormatting>
  <conditionalFormatting sqref="H126:H398">
    <cfRule type="expression" dxfId="53" priority="10">
      <formula>#REF!="Active"</formula>
    </cfRule>
  </conditionalFormatting>
  <conditionalFormatting sqref="H19:H125 G399:H442">
    <cfRule type="expression" dxfId="52" priority="9">
      <formula>#REF!="Active"</formula>
    </cfRule>
  </conditionalFormatting>
  <conditionalFormatting sqref="G13:G398">
    <cfRule type="expression" dxfId="51" priority="8">
      <formula>#REF!="Active"</formula>
    </cfRule>
  </conditionalFormatting>
  <conditionalFormatting sqref="I13:I442">
    <cfRule type="expression" dxfId="50" priority="7">
      <formula>#REF!="Active"</formula>
    </cfRule>
  </conditionalFormatting>
  <dataValidations count="3">
    <dataValidation type="list" allowBlank="1" showInputMessage="1" showErrorMessage="1" sqref="G13:G399" xr:uid="{00000000-0002-0000-0800-000001000000}">
      <formula1>parkratename</formula1>
    </dataValidation>
    <dataValidation type="list" allowBlank="1" showInputMessage="1" showErrorMessage="1" sqref="Q13:Q442 R13:U442" xr:uid="{00000000-0002-0000-0800-000002000000}">
      <formula1>Futurepick</formula1>
    </dataValidation>
    <dataValidation type="list" allowBlank="1" showInputMessage="1" showErrorMessage="1" sqref="D6" xr:uid="{00000000-0002-0000-0800-000003000000}">
      <formula1>LANDRATETYPE</formula1>
    </dataValidation>
  </dataValidations>
  <hyperlinks>
    <hyperlink ref="A3" location="'Existing Trunk Assets'!A1" display="Return to &quot;Existing Trunk Assets&quot;" xr:uid="{00000000-0004-0000-0800-000000000000}"/>
  </hyperlinks>
  <pageMargins left="0.23622047244094491" right="0.23622047244094491" top="0.74803149606299213" bottom="0.74803149606299213" header="0.31496062992125984" footer="0.31496062992125984"/>
  <pageSetup paperSize="8" scale="36" fitToHeight="0" orientation="landscape" r:id="rId1"/>
  <headerFooter>
    <oddFooter>&amp;C_x000D_&amp;1#&amp;"Arial"&amp;10&amp;KFF0000 SECURITY LABEL: OFFICIAL</oddFooter>
  </headerFooter>
  <customProperties>
    <customPr name="EpmWorksheetKeyString_GUID" r:id="rId2"/>
  </customProperties>
  <ignoredErrors>
    <ignoredError sqref="L14:L442" unlockedFormula="1"/>
  </ignoredError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09E41-2A23-4744-8308-A2C548864A2A}">
  <sheetPr>
    <tabColor theme="8" tint="0.39997558519241921"/>
  </sheetPr>
  <dimension ref="A1:CN17"/>
  <sheetViews>
    <sheetView zoomScale="70" zoomScaleNormal="70" workbookViewId="0">
      <selection sqref="A1:XFD2"/>
    </sheetView>
  </sheetViews>
  <sheetFormatPr defaultColWidth="9" defaultRowHeight="13.5"/>
  <cols>
    <col min="1" max="1" width="4.25" style="51" customWidth="1"/>
    <col min="2" max="2" width="12" style="51" bestFit="1" customWidth="1"/>
    <col min="3" max="3" width="32.75" style="51" bestFit="1" customWidth="1"/>
    <col min="4" max="4" width="13.83203125" style="51" customWidth="1"/>
    <col min="5" max="5" width="35" style="51" bestFit="1" customWidth="1"/>
    <col min="6" max="6" width="14.25" style="51" customWidth="1"/>
    <col min="7" max="7" width="33" style="51" customWidth="1"/>
    <col min="8" max="16384" width="9" style="51"/>
  </cols>
  <sheetData>
    <row r="1" spans="1:92" s="381" customFormat="1" ht="20" thickBot="1">
      <c r="B1" s="382" t="str">
        <f>'Navigation Pane'!B2</f>
        <v>Brisbane City Council</v>
      </c>
      <c r="C1" s="382"/>
      <c r="D1" s="382"/>
      <c r="E1" s="382"/>
      <c r="F1" s="382"/>
      <c r="G1" s="382"/>
      <c r="H1" s="382"/>
      <c r="I1" s="382"/>
      <c r="J1" s="382"/>
      <c r="K1" s="382"/>
      <c r="L1" s="382"/>
      <c r="M1" s="382"/>
      <c r="N1" s="382"/>
      <c r="U1" s="383"/>
      <c r="X1" s="384"/>
      <c r="Y1" s="384"/>
      <c r="Z1" s="384"/>
      <c r="AA1" s="383"/>
      <c r="AB1" s="383"/>
      <c r="AC1" s="383"/>
      <c r="BH1" s="385"/>
      <c r="BI1" s="385"/>
      <c r="BJ1" s="385"/>
      <c r="BK1" s="385"/>
      <c r="BL1" s="385"/>
      <c r="CM1" s="385"/>
      <c r="CN1" s="385"/>
    </row>
    <row r="2" spans="1:92" s="381" customFormat="1" ht="25.5" customHeight="1" thickTop="1" thickBot="1">
      <c r="B2" s="382" t="s">
        <v>103</v>
      </c>
      <c r="C2" s="382"/>
      <c r="D2" s="382"/>
      <c r="E2" s="382"/>
      <c r="F2" s="382"/>
      <c r="G2" s="382"/>
      <c r="H2" s="382"/>
      <c r="I2" s="382"/>
      <c r="J2" s="382"/>
      <c r="K2" s="382"/>
      <c r="L2" s="382"/>
      <c r="M2" s="382"/>
      <c r="N2" s="382"/>
      <c r="U2" s="383"/>
      <c r="X2" s="384"/>
      <c r="Y2" s="384"/>
      <c r="Z2" s="384"/>
      <c r="AA2" s="383"/>
      <c r="AB2" s="383"/>
      <c r="AC2" s="383"/>
      <c r="BH2" s="385"/>
      <c r="BI2" s="385"/>
      <c r="BJ2" s="385"/>
      <c r="BK2" s="385"/>
      <c r="BL2" s="385"/>
      <c r="CM2" s="385"/>
      <c r="CN2" s="385"/>
    </row>
    <row r="3" spans="1:92" ht="14" thickTop="1">
      <c r="A3" s="75" t="s">
        <v>94</v>
      </c>
      <c r="I3" s="133"/>
      <c r="K3" s="73"/>
      <c r="U3" s="86"/>
      <c r="V3" s="249"/>
      <c r="X3" s="92"/>
      <c r="Y3" s="92"/>
      <c r="Z3" s="92"/>
      <c r="AA3" s="86"/>
      <c r="AB3" s="86"/>
      <c r="AC3" s="86"/>
      <c r="BH3" s="66"/>
      <c r="BI3" s="66"/>
      <c r="BJ3" s="66"/>
      <c r="BK3" s="66"/>
      <c r="BL3" s="66"/>
      <c r="CM3" s="66"/>
      <c r="CN3" s="66"/>
    </row>
    <row r="4" spans="1:92" ht="21" customHeight="1">
      <c r="B4" s="78" t="s">
        <v>34</v>
      </c>
      <c r="C4" s="78"/>
      <c r="D4" s="78"/>
      <c r="E4" s="78"/>
      <c r="F4" s="78"/>
      <c r="G4" s="78"/>
      <c r="H4" s="78"/>
      <c r="I4" s="78"/>
      <c r="J4" s="78"/>
      <c r="K4" s="78"/>
      <c r="L4" s="78"/>
      <c r="M4" s="78"/>
      <c r="N4" s="78"/>
      <c r="U4" s="86"/>
      <c r="X4" s="92"/>
      <c r="Y4" s="92"/>
      <c r="Z4" s="92"/>
      <c r="AA4" s="86"/>
      <c r="AB4" s="86"/>
      <c r="AC4" s="86"/>
      <c r="BH4" s="66"/>
      <c r="BI4" s="66"/>
      <c r="BJ4" s="66"/>
      <c r="BK4" s="66"/>
      <c r="BL4" s="66"/>
      <c r="CM4" s="66"/>
      <c r="CN4" s="66"/>
    </row>
    <row r="7" spans="1:92" ht="14">
      <c r="B7" s="265"/>
      <c r="C7" s="467" t="s">
        <v>974</v>
      </c>
      <c r="D7" s="468"/>
      <c r="E7" s="467" t="s">
        <v>975</v>
      </c>
      <c r="F7" s="468"/>
      <c r="G7" s="274" t="s">
        <v>980</v>
      </c>
      <c r="H7" s="315"/>
    </row>
    <row r="8" spans="1:92" ht="14">
      <c r="B8" s="266" t="s">
        <v>60</v>
      </c>
      <c r="C8" s="267" t="s">
        <v>976</v>
      </c>
      <c r="D8" s="267" t="s">
        <v>977</v>
      </c>
      <c r="E8" s="267" t="s">
        <v>976</v>
      </c>
      <c r="F8" s="267" t="s">
        <v>977</v>
      </c>
      <c r="G8" s="267" t="s">
        <v>981</v>
      </c>
    </row>
    <row r="9" spans="1:92">
      <c r="B9" s="263" t="s">
        <v>139</v>
      </c>
      <c r="C9" s="264">
        <v>7927</v>
      </c>
      <c r="D9" s="264">
        <v>0</v>
      </c>
      <c r="E9" s="264">
        <v>17797</v>
      </c>
      <c r="F9" s="264">
        <v>355940</v>
      </c>
      <c r="G9" s="264">
        <f>SUM(C9:F9)</f>
        <v>381664</v>
      </c>
    </row>
    <row r="10" spans="1:92">
      <c r="B10" s="263" t="s">
        <v>140</v>
      </c>
      <c r="C10" s="264">
        <v>6874190</v>
      </c>
      <c r="D10" s="264">
        <v>2198485</v>
      </c>
      <c r="E10" s="264">
        <v>9628618</v>
      </c>
      <c r="F10" s="264">
        <v>3153020</v>
      </c>
      <c r="G10" s="264">
        <f t="shared" ref="G10:G13" si="0">SUM(C10:F10)</f>
        <v>21854313</v>
      </c>
    </row>
    <row r="11" spans="1:92">
      <c r="B11" s="263" t="s">
        <v>141</v>
      </c>
      <c r="C11" s="264">
        <v>5049181</v>
      </c>
      <c r="D11" s="264">
        <v>1383395</v>
      </c>
      <c r="E11" s="264">
        <v>22117308</v>
      </c>
      <c r="F11" s="264">
        <v>10722695</v>
      </c>
      <c r="G11" s="264">
        <f t="shared" si="0"/>
        <v>39272579</v>
      </c>
    </row>
    <row r="12" spans="1:92">
      <c r="B12" s="263" t="s">
        <v>142</v>
      </c>
      <c r="C12" s="264">
        <v>3919633</v>
      </c>
      <c r="D12" s="264">
        <v>1768145</v>
      </c>
      <c r="E12" s="264">
        <v>11211249</v>
      </c>
      <c r="F12" s="264">
        <v>2872780</v>
      </c>
      <c r="G12" s="264">
        <f t="shared" si="0"/>
        <v>19771807</v>
      </c>
    </row>
    <row r="13" spans="1:92">
      <c r="B13" s="263" t="s">
        <v>143</v>
      </c>
      <c r="C13" s="264">
        <v>9426861</v>
      </c>
      <c r="D13" s="264">
        <v>1112360</v>
      </c>
      <c r="E13" s="264">
        <v>12545867</v>
      </c>
      <c r="F13" s="264">
        <v>4567085</v>
      </c>
      <c r="G13" s="264">
        <f t="shared" si="0"/>
        <v>27652173</v>
      </c>
    </row>
    <row r="16" spans="1:92">
      <c r="A16" s="51" t="s">
        <v>978</v>
      </c>
    </row>
    <row r="17" spans="1:1">
      <c r="A17" s="51" t="s">
        <v>979</v>
      </c>
    </row>
  </sheetData>
  <mergeCells count="2">
    <mergeCell ref="C7:D7"/>
    <mergeCell ref="E7:F7"/>
  </mergeCells>
  <hyperlinks>
    <hyperlink ref="A3" location="'Future Trunk Assets'!A1" display="Return to &quot;Future Trunk Assets&quot;" xr:uid="{B665F53C-92B3-4463-9D39-2795F3A9E074}"/>
  </hyperlinks>
  <pageMargins left="0.25" right="0.25" top="0.75" bottom="0.75" header="0.3" footer="0.3"/>
  <pageSetup paperSize="8" orientation="landscape" r:id="rId1"/>
  <headerFooter>
    <oddFooter>&amp;C_x000D_&amp;1#&amp;"Arial"&amp;10&amp;KFF0000 SECURITY LABEL: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theme="8" tint="0.39997558519241921"/>
    <pageSetUpPr fitToPage="1"/>
  </sheetPr>
  <dimension ref="A1:GI58"/>
  <sheetViews>
    <sheetView topLeftCell="A2" zoomScale="60" zoomScaleNormal="60" workbookViewId="0">
      <pane ySplit="13" topLeftCell="A15" activePane="bottomLeft" state="frozen"/>
      <selection pane="bottomLeft" activeCell="A2" sqref="A2:XFD3"/>
    </sheetView>
  </sheetViews>
  <sheetFormatPr defaultColWidth="9" defaultRowHeight="13.5"/>
  <cols>
    <col min="1" max="1" width="3.25" style="51" customWidth="1"/>
    <col min="2" max="2" width="14.5" style="51" customWidth="1"/>
    <col min="3" max="3" width="12.33203125" style="51" customWidth="1"/>
    <col min="4" max="5" width="15" style="51" customWidth="1"/>
    <col min="6" max="6" width="123.58203125" style="51" customWidth="1"/>
    <col min="7" max="7" width="49.08203125" style="51" customWidth="1"/>
    <col min="8" max="8" width="10.08203125" style="73" bestFit="1" customWidth="1"/>
    <col min="9" max="9" width="8.5" style="51" bestFit="1" customWidth="1"/>
    <col min="10" max="10" width="14.33203125" style="51" bestFit="1" customWidth="1"/>
    <col min="11" max="11" width="19.08203125" style="51" customWidth="1"/>
    <col min="12" max="12" width="9.5" style="51" bestFit="1" customWidth="1"/>
    <col min="13" max="13" width="10.08203125" style="51" bestFit="1" customWidth="1"/>
    <col min="14" max="14" width="13.08203125" style="51" bestFit="1" customWidth="1"/>
    <col min="15" max="15" width="10.58203125" style="51" customWidth="1"/>
    <col min="16" max="16" width="21.08203125" style="51" customWidth="1"/>
    <col min="17" max="17" width="24.08203125" style="86" customWidth="1"/>
    <col min="18" max="19" width="32.33203125" style="51" customWidth="1"/>
    <col min="20" max="20" width="17.83203125" style="51" customWidth="1"/>
    <col min="21" max="21" width="21.33203125" style="92" customWidth="1"/>
    <col min="22" max="24" width="21.58203125" style="92" customWidth="1"/>
    <col min="25" max="25" width="14.83203125" style="92" bestFit="1" customWidth="1"/>
    <col min="26" max="26" width="17.25" style="92" bestFit="1" customWidth="1"/>
    <col min="27" max="27" width="15.25" style="86" customWidth="1"/>
    <col min="28" max="28" width="16.83203125" style="86" customWidth="1"/>
    <col min="29" max="29" width="18" style="86" customWidth="1"/>
    <col min="30" max="30" width="19.83203125" style="86" customWidth="1"/>
    <col min="31" max="31" width="7.5" style="51" customWidth="1"/>
    <col min="32" max="36" width="5.5" style="51" customWidth="1"/>
    <col min="37" max="37" width="1.75" style="66" customWidth="1"/>
    <col min="38" max="41" width="9" style="66" customWidth="1"/>
    <col min="42" max="42" width="9" style="51" customWidth="1"/>
    <col min="43" max="43" width="5.83203125" style="66" customWidth="1"/>
    <col min="44" max="44" width="2.25" style="66" customWidth="1"/>
    <col min="45" max="45" width="10.58203125" style="51" customWidth="1"/>
    <col min="46" max="46" width="9" style="51" customWidth="1"/>
    <col min="47" max="47" width="11.58203125" style="51" customWidth="1"/>
    <col min="48" max="48" width="13" style="51" customWidth="1"/>
    <col min="49" max="49" width="9" style="51" customWidth="1"/>
    <col min="50" max="50" width="2.08203125" style="51" customWidth="1"/>
    <col min="51" max="51" width="9" style="51" customWidth="1"/>
    <col min="52" max="55" width="9" style="51"/>
    <col min="56" max="56" width="10.83203125" style="51" customWidth="1"/>
    <col min="57" max="16384" width="9" style="51"/>
  </cols>
  <sheetData>
    <row r="1" spans="1:191" s="1" customFormat="1" hidden="1">
      <c r="A1" s="51"/>
      <c r="H1" s="10"/>
      <c r="Q1" s="85"/>
      <c r="U1" s="91"/>
      <c r="V1" s="91"/>
      <c r="W1" s="91"/>
      <c r="X1" s="91"/>
      <c r="Y1" s="91"/>
      <c r="Z1" s="91"/>
      <c r="AA1" s="85"/>
      <c r="AB1" s="85"/>
      <c r="AC1" s="85"/>
      <c r="AD1" s="85"/>
      <c r="AK1" s="66"/>
      <c r="AR1" s="66"/>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row>
    <row r="2" spans="1:191" s="381" customFormat="1" ht="20" thickBot="1">
      <c r="B2" s="469" t="str">
        <f>'Navigation Pane'!B2</f>
        <v>Brisbane City Council</v>
      </c>
      <c r="C2" s="469"/>
      <c r="D2" s="469"/>
      <c r="E2" s="469"/>
      <c r="F2" s="469"/>
      <c r="G2" s="469"/>
      <c r="H2" s="469"/>
      <c r="I2" s="469"/>
      <c r="J2" s="469"/>
      <c r="Q2" s="383"/>
      <c r="U2" s="384"/>
      <c r="V2" s="384"/>
      <c r="W2" s="384"/>
      <c r="X2" s="384"/>
      <c r="Y2" s="384"/>
      <c r="Z2" s="384"/>
      <c r="AA2" s="383"/>
      <c r="AB2" s="383"/>
      <c r="AC2" s="383"/>
      <c r="AD2" s="383"/>
      <c r="AK2" s="385"/>
      <c r="AL2" s="385"/>
      <c r="AM2" s="385"/>
      <c r="AN2" s="385"/>
      <c r="AO2" s="385"/>
      <c r="AQ2" s="385"/>
      <c r="AR2" s="385"/>
    </row>
    <row r="3" spans="1:191" s="381" customFormat="1" ht="25.5" customHeight="1" thickTop="1" thickBot="1">
      <c r="B3" s="469" t="s">
        <v>103</v>
      </c>
      <c r="C3" s="469"/>
      <c r="D3" s="469"/>
      <c r="E3" s="469"/>
      <c r="F3" s="469"/>
      <c r="G3" s="469"/>
      <c r="H3" s="469"/>
      <c r="I3" s="469"/>
      <c r="J3" s="469"/>
      <c r="Q3" s="383"/>
      <c r="U3" s="384"/>
      <c r="V3" s="384"/>
      <c r="W3" s="384"/>
      <c r="X3" s="384"/>
      <c r="Y3" s="384"/>
      <c r="Z3" s="384"/>
      <c r="AA3" s="383"/>
      <c r="AB3" s="383"/>
      <c r="AC3" s="383"/>
      <c r="AD3" s="383"/>
      <c r="AK3" s="385"/>
      <c r="AL3" s="385"/>
      <c r="AM3" s="385"/>
      <c r="AN3" s="385"/>
      <c r="AO3" s="385"/>
      <c r="AQ3" s="385"/>
      <c r="AR3" s="385"/>
    </row>
    <row r="4" spans="1:191" ht="14" thickTop="1">
      <c r="A4" s="75" t="s">
        <v>94</v>
      </c>
      <c r="R4" s="249"/>
      <c r="S4" s="249"/>
    </row>
    <row r="5" spans="1:191" ht="21" customHeight="1">
      <c r="B5" s="470" t="s">
        <v>73</v>
      </c>
      <c r="C5" s="470"/>
      <c r="D5" s="470"/>
      <c r="E5" s="470"/>
      <c r="F5" s="470"/>
      <c r="G5" s="470"/>
      <c r="H5" s="470"/>
      <c r="I5" s="470"/>
      <c r="J5" s="470"/>
    </row>
    <row r="6" spans="1:191" ht="9.75" customHeight="1" thickBot="1">
      <c r="AL6" s="51"/>
      <c r="AM6" s="51"/>
      <c r="AN6" s="51"/>
      <c r="AO6" s="51"/>
      <c r="AQ6" s="51"/>
    </row>
    <row r="7" spans="1:191" s="83" customFormat="1" ht="74.25" customHeight="1" thickBot="1">
      <c r="B7" s="479" t="s">
        <v>994</v>
      </c>
      <c r="C7" s="480"/>
      <c r="D7" s="480"/>
      <c r="E7" s="476" t="s">
        <v>989</v>
      </c>
      <c r="F7" s="477"/>
      <c r="G7" s="477"/>
      <c r="H7" s="477"/>
      <c r="I7" s="477"/>
      <c r="J7" s="477"/>
      <c r="K7" s="477"/>
      <c r="L7" s="477"/>
      <c r="M7" s="477"/>
      <c r="N7" s="477"/>
      <c r="O7" s="477"/>
      <c r="P7" s="477"/>
      <c r="Q7" s="477"/>
      <c r="R7" s="477"/>
      <c r="S7" s="477"/>
      <c r="T7" s="478"/>
      <c r="U7" s="92"/>
      <c r="V7" s="92"/>
      <c r="W7" s="92"/>
      <c r="X7" s="92"/>
      <c r="Y7" s="92"/>
      <c r="Z7" s="92"/>
      <c r="AA7" s="86"/>
      <c r="AB7" s="86"/>
      <c r="AC7" s="86"/>
      <c r="AD7" s="86"/>
      <c r="AK7" s="66"/>
      <c r="AL7" s="66"/>
      <c r="AM7" s="66"/>
      <c r="AN7" s="66"/>
      <c r="AO7" s="66"/>
      <c r="AQ7" s="66"/>
      <c r="AR7" s="66"/>
    </row>
    <row r="8" spans="1:191" s="83" customFormat="1" ht="8.25" customHeight="1" thickBot="1">
      <c r="H8" s="73"/>
      <c r="Q8" s="86"/>
      <c r="U8" s="92"/>
      <c r="V8" s="92"/>
      <c r="W8" s="92"/>
      <c r="X8" s="92"/>
      <c r="Y8" s="92"/>
      <c r="Z8" s="92"/>
      <c r="AA8" s="86"/>
      <c r="AB8" s="86"/>
      <c r="AC8" s="86"/>
      <c r="AD8" s="86"/>
      <c r="AK8" s="66"/>
      <c r="AL8" s="66"/>
      <c r="AM8" s="66"/>
      <c r="AN8" s="66"/>
      <c r="AO8" s="66"/>
      <c r="AQ8" s="66"/>
      <c r="AR8" s="66"/>
    </row>
    <row r="9" spans="1:191" s="83" customFormat="1" ht="14.5" thickBot="1">
      <c r="B9" s="471" t="s">
        <v>101</v>
      </c>
      <c r="C9" s="472"/>
      <c r="D9" s="84" t="s">
        <v>97</v>
      </c>
      <c r="H9" s="73"/>
      <c r="Q9" s="86"/>
      <c r="U9" s="92"/>
      <c r="V9" s="92"/>
      <c r="W9" s="92"/>
      <c r="X9" s="92"/>
      <c r="Y9" s="92"/>
      <c r="Z9" s="92"/>
      <c r="AA9" s="86"/>
      <c r="AB9" s="86"/>
      <c r="AC9" s="86"/>
      <c r="AD9" s="86"/>
      <c r="AK9" s="66"/>
      <c r="AL9" s="66"/>
      <c r="AM9" s="66"/>
      <c r="AN9" s="66"/>
      <c r="AO9" s="66"/>
      <c r="AQ9" s="66"/>
      <c r="AR9" s="66"/>
    </row>
    <row r="10" spans="1:191" ht="7.5" customHeight="1" thickBot="1"/>
    <row r="11" spans="1:191" s="87" customFormat="1" ht="14.5" thickBot="1">
      <c r="A11" s="83"/>
      <c r="B11" s="109"/>
      <c r="C11" s="110"/>
      <c r="D11" s="110"/>
      <c r="E11" s="110"/>
      <c r="F11" s="110"/>
      <c r="G11" s="110"/>
      <c r="H11" s="131"/>
      <c r="I11" s="110"/>
      <c r="J11" s="110"/>
      <c r="K11" s="134" t="s">
        <v>41</v>
      </c>
      <c r="L11" s="110"/>
      <c r="M11" s="110"/>
      <c r="N11" s="110"/>
      <c r="O11" s="110"/>
      <c r="P11" s="110"/>
      <c r="Q11" s="111"/>
      <c r="R11" s="110"/>
      <c r="S11" s="110"/>
      <c r="T11" s="110"/>
      <c r="U11" s="112"/>
      <c r="V11" s="112"/>
      <c r="W11" s="112"/>
      <c r="X11" s="112"/>
      <c r="Y11" s="112"/>
      <c r="Z11" s="112"/>
      <c r="AA11" s="111"/>
      <c r="AB11" s="111"/>
      <c r="AC11" s="111"/>
      <c r="AD11" s="111"/>
      <c r="AE11" s="473" t="s">
        <v>112</v>
      </c>
      <c r="AF11" s="474"/>
      <c r="AG11" s="474"/>
      <c r="AH11" s="474"/>
      <c r="AI11" s="474"/>
      <c r="AJ11" s="475"/>
      <c r="AK11" s="66"/>
      <c r="AL11" s="113"/>
      <c r="AM11" s="114" t="s">
        <v>69</v>
      </c>
      <c r="AN11" s="114"/>
      <c r="AO11" s="114"/>
      <c r="AP11" s="110"/>
      <c r="AQ11" s="115"/>
      <c r="AR11" s="66"/>
      <c r="AS11" s="116"/>
      <c r="AT11" s="110" t="s">
        <v>70</v>
      </c>
      <c r="AU11" s="110"/>
      <c r="AV11" s="110"/>
      <c r="AW11" s="110"/>
      <c r="AX11" s="349"/>
      <c r="AY11" s="489" t="s">
        <v>992</v>
      </c>
      <c r="AZ11" s="490"/>
      <c r="BA11" s="490"/>
      <c r="BB11" s="490"/>
      <c r="BC11" s="490"/>
      <c r="BD11" s="490"/>
      <c r="BE11" s="348"/>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row>
    <row r="12" spans="1:191" s="87" customFormat="1" ht="15.75" customHeight="1" thickBot="1">
      <c r="A12" s="83"/>
      <c r="B12" s="489" t="s">
        <v>78</v>
      </c>
      <c r="C12" s="490"/>
      <c r="D12" s="490"/>
      <c r="E12" s="490"/>
      <c r="F12" s="490"/>
      <c r="G12" s="491" t="s">
        <v>126</v>
      </c>
      <c r="H12" s="492"/>
      <c r="I12" s="492"/>
      <c r="J12" s="493"/>
      <c r="K12" s="494"/>
      <c r="L12" s="494"/>
      <c r="M12" s="494"/>
      <c r="N12" s="494"/>
      <c r="O12" s="494"/>
      <c r="P12" s="494"/>
      <c r="Q12" s="495"/>
      <c r="R12" s="496"/>
      <c r="S12" s="262"/>
      <c r="T12" s="490" t="s">
        <v>80</v>
      </c>
      <c r="U12" s="490"/>
      <c r="V12" s="490"/>
      <c r="W12" s="490"/>
      <c r="X12" s="490"/>
      <c r="Y12" s="490"/>
      <c r="Z12" s="490"/>
      <c r="AA12" s="490"/>
      <c r="AB12" s="490"/>
      <c r="AC12" s="490"/>
      <c r="AD12" s="285"/>
      <c r="AE12" s="481" t="s">
        <v>139</v>
      </c>
      <c r="AF12" s="481" t="s">
        <v>140</v>
      </c>
      <c r="AG12" s="481" t="s">
        <v>141</v>
      </c>
      <c r="AH12" s="481" t="s">
        <v>142</v>
      </c>
      <c r="AI12" s="481" t="s">
        <v>143</v>
      </c>
      <c r="AJ12" s="498" t="str">
        <f>'Catchment Demand -LFCF'!$C38</f>
        <v>Totals</v>
      </c>
      <c r="AK12" s="66"/>
      <c r="AL12" s="481" t="str">
        <f>AE12</f>
        <v>Fringe</v>
      </c>
      <c r="AM12" s="485" t="str">
        <f>AF12</f>
        <v>Urban East</v>
      </c>
      <c r="AN12" s="485" t="str">
        <f>AG12</f>
        <v>Urban North</v>
      </c>
      <c r="AO12" s="485" t="str">
        <f>AH12</f>
        <v>Urban South</v>
      </c>
      <c r="AP12" s="487" t="str">
        <f>AI12</f>
        <v>Urban West</v>
      </c>
      <c r="AQ12" s="481" t="s">
        <v>48</v>
      </c>
      <c r="AR12" s="66"/>
      <c r="AS12" s="483" t="str">
        <f>AE12</f>
        <v>Fringe</v>
      </c>
      <c r="AT12" s="483" t="str">
        <f>AF12</f>
        <v>Urban East</v>
      </c>
      <c r="AU12" s="483" t="str">
        <f>AG12</f>
        <v>Urban North</v>
      </c>
      <c r="AV12" s="483" t="str">
        <f>AH12</f>
        <v>Urban South</v>
      </c>
      <c r="AW12" s="483" t="str">
        <f>AI12</f>
        <v>Urban West</v>
      </c>
      <c r="AX12" s="83"/>
      <c r="AY12" s="497" t="str">
        <f>AE12</f>
        <v>Fringe</v>
      </c>
      <c r="AZ12" s="497" t="str">
        <f>AF12</f>
        <v>Urban East</v>
      </c>
      <c r="BA12" s="497" t="str">
        <f>AG12</f>
        <v>Urban North</v>
      </c>
      <c r="BB12" s="497" t="str">
        <f>AH12</f>
        <v>Urban South</v>
      </c>
      <c r="BC12" s="497" t="str">
        <f>AI12</f>
        <v>Urban West</v>
      </c>
      <c r="BD12" s="483" t="str">
        <f>AQ12</f>
        <v>TOTALS</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row>
    <row r="13" spans="1:191" s="87" customFormat="1" ht="95.25" customHeight="1" thickBot="1">
      <c r="A13" s="83"/>
      <c r="B13" s="136" t="s">
        <v>35</v>
      </c>
      <c r="C13" s="137" t="s">
        <v>76</v>
      </c>
      <c r="D13" s="137" t="s">
        <v>40</v>
      </c>
      <c r="E13" s="137" t="s">
        <v>122</v>
      </c>
      <c r="F13" s="137" t="s">
        <v>36</v>
      </c>
      <c r="G13" s="243" t="s">
        <v>102</v>
      </c>
      <c r="H13" s="138" t="s">
        <v>136</v>
      </c>
      <c r="I13" s="139" t="s">
        <v>113</v>
      </c>
      <c r="J13" s="139" t="s">
        <v>99</v>
      </c>
      <c r="K13" s="140" t="s">
        <v>963</v>
      </c>
      <c r="L13" s="136" t="s">
        <v>39</v>
      </c>
      <c r="M13" s="141" t="s">
        <v>125</v>
      </c>
      <c r="N13" s="141" t="s">
        <v>995</v>
      </c>
      <c r="O13" s="141" t="s">
        <v>75</v>
      </c>
      <c r="P13" s="247" t="s">
        <v>123</v>
      </c>
      <c r="Q13" s="248" t="s">
        <v>124</v>
      </c>
      <c r="R13" s="142" t="s">
        <v>132</v>
      </c>
      <c r="S13" s="275" t="s">
        <v>982</v>
      </c>
      <c r="T13" s="136" t="s">
        <v>127</v>
      </c>
      <c r="U13" s="143" t="s">
        <v>128</v>
      </c>
      <c r="V13" s="143" t="s">
        <v>129</v>
      </c>
      <c r="W13" s="246" t="s">
        <v>984</v>
      </c>
      <c r="X13" s="246" t="s">
        <v>988</v>
      </c>
      <c r="Y13" s="246" t="s">
        <v>986</v>
      </c>
      <c r="Z13" s="246" t="s">
        <v>985</v>
      </c>
      <c r="AA13" s="144" t="s">
        <v>996</v>
      </c>
      <c r="AB13" s="144" t="s">
        <v>130</v>
      </c>
      <c r="AC13" s="144" t="s">
        <v>131</v>
      </c>
      <c r="AD13" s="286" t="s">
        <v>990</v>
      </c>
      <c r="AE13" s="482" t="s">
        <v>139</v>
      </c>
      <c r="AF13" s="482" t="s">
        <v>140</v>
      </c>
      <c r="AG13" s="482" t="s">
        <v>141</v>
      </c>
      <c r="AH13" s="482" t="s">
        <v>142</v>
      </c>
      <c r="AI13" s="482" t="s">
        <v>143</v>
      </c>
      <c r="AJ13" s="499"/>
      <c r="AK13" s="66"/>
      <c r="AL13" s="482"/>
      <c r="AM13" s="486"/>
      <c r="AN13" s="486"/>
      <c r="AO13" s="486"/>
      <c r="AP13" s="488"/>
      <c r="AQ13" s="482"/>
      <c r="AR13" s="66"/>
      <c r="AS13" s="484"/>
      <c r="AT13" s="484"/>
      <c r="AU13" s="484"/>
      <c r="AV13" s="484"/>
      <c r="AW13" s="484"/>
      <c r="AX13" s="83"/>
      <c r="AY13" s="484"/>
      <c r="AZ13" s="484"/>
      <c r="BA13" s="484"/>
      <c r="BB13" s="484"/>
      <c r="BC13" s="484"/>
      <c r="BD13" s="484"/>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row>
    <row r="14" spans="1:191" s="2" customFormat="1" ht="27.65" customHeight="1" thickBot="1">
      <c r="A14" s="53"/>
      <c r="B14" s="121" t="s">
        <v>83</v>
      </c>
      <c r="C14" s="118" t="s">
        <v>77</v>
      </c>
      <c r="D14" s="118" t="s">
        <v>104</v>
      </c>
      <c r="E14" s="118"/>
      <c r="F14" s="118"/>
      <c r="G14" s="117"/>
      <c r="H14" s="132"/>
      <c r="I14" s="119"/>
      <c r="J14" s="119"/>
      <c r="K14" s="120"/>
      <c r="L14" s="121"/>
      <c r="M14" s="118"/>
      <c r="N14" s="122"/>
      <c r="O14" s="122"/>
      <c r="P14" s="118"/>
      <c r="Q14" s="123"/>
      <c r="R14" s="124"/>
      <c r="S14" s="279"/>
      <c r="T14" s="121"/>
      <c r="U14" s="125"/>
      <c r="V14" s="125"/>
      <c r="W14" s="244" t="s">
        <v>987</v>
      </c>
      <c r="X14" s="282"/>
      <c r="Y14" s="282"/>
      <c r="Z14" s="244" t="s">
        <v>993</v>
      </c>
      <c r="AA14" s="123"/>
      <c r="AB14" s="123" t="s">
        <v>84</v>
      </c>
      <c r="AC14" s="123" t="s">
        <v>92</v>
      </c>
      <c r="AD14" s="287" t="s">
        <v>991</v>
      </c>
      <c r="AE14" s="126"/>
      <c r="AF14" s="127"/>
      <c r="AG14" s="127"/>
      <c r="AH14" s="127"/>
      <c r="AI14" s="128"/>
      <c r="AJ14" s="128" t="str">
        <f>IFERROR(VLOOKUP(AJ12,Parkscatch,6,FALSE),"")</f>
        <v/>
      </c>
      <c r="AK14" s="66"/>
      <c r="AL14" s="250"/>
      <c r="AM14" s="250"/>
      <c r="AN14" s="250"/>
      <c r="AO14" s="250"/>
      <c r="AP14" s="251"/>
      <c r="AQ14" s="129"/>
      <c r="AR14" s="66"/>
      <c r="AS14" s="123">
        <f t="shared" ref="AS14:AW14" si="0">SUM(AS15:AS22)</f>
        <v>354876.14362832252</v>
      </c>
      <c r="AT14" s="123">
        <f t="shared" si="0"/>
        <v>4943116.2067737943</v>
      </c>
      <c r="AU14" s="123">
        <f t="shared" si="0"/>
        <v>10685018.71248138</v>
      </c>
      <c r="AV14" s="123">
        <f t="shared" si="0"/>
        <v>10209744.80785564</v>
      </c>
      <c r="AW14" s="350">
        <f t="shared" si="0"/>
        <v>4382043.1292608613</v>
      </c>
      <c r="AX14" s="53"/>
      <c r="AY14" s="123">
        <f t="shared" ref="AY14:BC14" si="1">SUM(AY15:AY22)</f>
        <v>354876.14362832252</v>
      </c>
      <c r="AZ14" s="123">
        <f t="shared" si="1"/>
        <v>4943116.2067737943</v>
      </c>
      <c r="BA14" s="123">
        <f t="shared" si="1"/>
        <v>10685018.71248138</v>
      </c>
      <c r="BB14" s="123">
        <f t="shared" si="1"/>
        <v>9208230.4604596812</v>
      </c>
      <c r="BC14" s="123">
        <f t="shared" si="1"/>
        <v>4382043.1292608613</v>
      </c>
      <c r="BD14" s="130">
        <f>SUM(BC15:BD22)</f>
        <v>33955327.781864896</v>
      </c>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row>
    <row r="15" spans="1:191" s="1" customFormat="1">
      <c r="A15" s="51"/>
      <c r="B15" s="171" t="s">
        <v>953</v>
      </c>
      <c r="C15" s="149" t="s">
        <v>947</v>
      </c>
      <c r="D15" s="149" t="s">
        <v>118</v>
      </c>
      <c r="E15" s="149" t="s">
        <v>141</v>
      </c>
      <c r="F15" s="149" t="s">
        <v>958</v>
      </c>
      <c r="G15" s="152" t="s">
        <v>964</v>
      </c>
      <c r="H15" s="153">
        <v>3000</v>
      </c>
      <c r="I15" s="88">
        <f t="shared" ref="I15:I20" si="2">J15/H15</f>
        <v>200</v>
      </c>
      <c r="J15" s="159">
        <v>600000</v>
      </c>
      <c r="K15" s="146">
        <v>397633</v>
      </c>
      <c r="L15" s="161">
        <v>2016</v>
      </c>
      <c r="M15" s="162">
        <v>0.17</v>
      </c>
      <c r="N15" s="101">
        <f>ROUND(K15*M15,0)</f>
        <v>67598</v>
      </c>
      <c r="O15" s="161">
        <v>1</v>
      </c>
      <c r="P15" s="102">
        <f t="shared" ref="P15:P21" si="3">IF(T15="","",IF(T15&lt;=YEAR+5,0.075,IF(AND(T15&gt;YEAR+5,T15&lt;=YEAR+10),0.15,IF(AND(T15&gt;YEAR+10,T15&lt;=YEAR+20),0.2,IF(T15&gt;YEAR+20,0.25,"")))))</f>
        <v>7.4999999999999997E-2</v>
      </c>
      <c r="Q15" s="103">
        <f>ROUND((K15+N15)*13%,0)</f>
        <v>60480</v>
      </c>
      <c r="R15" s="104">
        <f t="shared" ref="R15:R21" si="4">ROUND((K15+N15+Q15+(K15+N15+Q15)*P15),0)</f>
        <v>565139</v>
      </c>
      <c r="S15" s="276">
        <f t="shared" ref="S15:S21" si="5">ROUND((K15+N15+Q15)*P15,0)</f>
        <v>39428</v>
      </c>
      <c r="T15" s="164">
        <v>2019</v>
      </c>
      <c r="U15" s="165">
        <v>2.5000000000000001E-2</v>
      </c>
      <c r="V15" s="165">
        <v>1.8700000000000001E-2</v>
      </c>
      <c r="W15" s="281" t="str">
        <f>IFERROR(IF(FutureTrunkParks[[#This Row],[Year of Provision]]&gt;2019,VLOOKUP(FutureTrunkParks[[#This Row],[Service Catchment]],'Catchment Demand -LFCF'!$C$8:$M$12,11,FALSE),""),"")</f>
        <v/>
      </c>
      <c r="X15" s="283">
        <f>_xlfn.IFS(FutureTrunkParks[[#This Row],[Year of Provision]]=2019,0,FutureTrunkParks[[#This Row],[Year of Provision]]=2024,FutureTrunkParks[[#This Row],[Total Assets Cost (at Base Year)]]/SUMIFS(AA$15:AA$21,T$15:T$21,"2024",E$15:E$21,FutureTrunkParks[[#This Row],[Service Catchment]]))</f>
        <v>0</v>
      </c>
      <c r="Y15" s="283">
        <f>IF(AND(FutureTrunkParks[[#This Row],[Spare Capacity %]]&gt;30%,FutureTrunkParks[[#This Row],[Share of the total Cost with the same year of provision %]]&gt;20%),(1-FutureTrunkParks[[#This Row],[Spare Capacity %]]),1)</f>
        <v>1</v>
      </c>
      <c r="Z15" s="245">
        <f>IF(FutureTrunkParks[[#This Row],[ Terminal Value Analysis]]&lt;0,0,FutureTrunkParks[ [ Terminal Value Analysis] ])</f>
        <v>1</v>
      </c>
      <c r="AA15" s="105">
        <f t="shared" ref="AA15:AA21" si="6">ROUND((R15+J15),0)</f>
        <v>1165139</v>
      </c>
      <c r="AB15" s="105">
        <f t="shared" ref="AB15:AB21" si="7">ROUND((R15*(1+V15)^(T15-YEAR)+J15*(1+U15)^(T15-YEAR)),0)</f>
        <v>1243574</v>
      </c>
      <c r="AC15" s="105">
        <f t="shared" ref="AC15:AC21" si="8">ROUND((AB15*(1/(1+WACC))^(T15-YEAR)),0)</f>
        <v>1046793</v>
      </c>
      <c r="AD15" s="277">
        <f>FutureTrunkParks[[#This Row],[Net Present Value of Total Asset Cost]]*FutureTrunkParks[[#This Row],[Final Terminal value adjustment %]]</f>
        <v>1046793</v>
      </c>
      <c r="AE15" s="253" t="str">
        <f>IF(OR(AE$13=$E15,$D15="Metropolitan",$D15="District"),"y","")</f>
        <v>y</v>
      </c>
      <c r="AF15" s="169" t="str">
        <f t="shared" ref="AF15:AI20" si="9">IF(OR(AF$13=$E15,$D15="Metropolitan",$D15="District"),"y","")</f>
        <v>y</v>
      </c>
      <c r="AG15" s="169" t="str">
        <f t="shared" si="9"/>
        <v>y</v>
      </c>
      <c r="AH15" s="169" t="str">
        <f t="shared" si="9"/>
        <v>y</v>
      </c>
      <c r="AI15" s="254" t="str">
        <f t="shared" si="9"/>
        <v>y</v>
      </c>
      <c r="AJ15" s="254" t="str">
        <f t="shared" ref="AJ15:AJ21" si="10">IF(OR(AJ$10=$E15,$D15="Metropolitan",$D15="District"),"y","")</f>
        <v>y</v>
      </c>
      <c r="AK15" s="66"/>
      <c r="AL15" s="93" cm="1">
        <f t="array" ref="AL15">_xlfn.IFS(AND(AE15="y",$D15="Local"), 1, AND(AE15="y",$D15&lt;&gt;"Local"),1.49009696454663%, AE15="","")</f>
        <v>1.49009696454663E-2</v>
      </c>
      <c r="AM15" s="94" cm="1">
        <f t="array" ref="AM15">_xlfn.IFS(AND(AF15="y",$D15="Local"), 1, AND(AF15="y",$D15&lt;&gt;"Local"),20.7557554582461%, AF15="","")</f>
        <v>0.207557554582461</v>
      </c>
      <c r="AN15" s="94" cm="1">
        <f t="array" ref="AN15">_xlfn.IFS(AND(AG15="y",$D15="Local"), 1, AND(AG15="y",$D15&lt;&gt;"Local"),30.3499104327336%, AG15="","")</f>
        <v>0.30349910432733601</v>
      </c>
      <c r="AO15" s="94" cm="1">
        <f t="array" ref="AO15">_xlfn.IFS(AND(AH15="y",$D15="Local"), 1, AND(AH15="y",$D15&lt;&gt;"Local"),29.0043833288201%, AH15="","")</f>
        <v>0.29004383328820099</v>
      </c>
      <c r="AP15" s="94" cm="1">
        <f t="array" ref="AP15">_xlfn.IFS(AND(AI15="y",$D15="Local"), 1, AND(AI15="y",$D15&lt;&gt;"Local"),18.3998538156536%, AI15="","")</f>
        <v>0.183998538156536</v>
      </c>
      <c r="AQ15" s="95">
        <f t="shared" ref="AQ15:AQ21" si="11">SUM(AL15:AP15)</f>
        <v>1.0000000000000004</v>
      </c>
      <c r="AR15" s="66"/>
      <c r="AS15" s="100">
        <f t="shared" ref="AS15:AW21" si="12">IF(AL15="","",(AL15/$AQ15)*$AC15)</f>
        <v>15598.230718086597</v>
      </c>
      <c r="AT15" s="100">
        <f t="shared" si="12"/>
        <v>217269.795234038</v>
      </c>
      <c r="AU15" s="100">
        <f t="shared" si="12"/>
        <v>317700.73791612493</v>
      </c>
      <c r="AV15" s="100">
        <f t="shared" si="12"/>
        <v>303615.85437925567</v>
      </c>
      <c r="AW15" s="100">
        <f t="shared" si="12"/>
        <v>192608.38175249469</v>
      </c>
      <c r="AX15" s="51"/>
      <c r="AY15" s="98">
        <f t="shared" ref="AY15:BC21" si="13">IF(AL15="","",(AL15/$AQ15)*$AD15)</f>
        <v>15598.230718086597</v>
      </c>
      <c r="AZ15" s="98">
        <f t="shared" si="13"/>
        <v>217269.795234038</v>
      </c>
      <c r="BA15" s="98">
        <f t="shared" si="13"/>
        <v>317700.73791612493</v>
      </c>
      <c r="BB15" s="98">
        <f t="shared" si="13"/>
        <v>303615.85437925567</v>
      </c>
      <c r="BC15" s="98">
        <f t="shared" si="13"/>
        <v>192608.38175249469</v>
      </c>
      <c r="BD15" s="98">
        <f>SUM(AY15:BC15)</f>
        <v>1046792.9999999999</v>
      </c>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row>
    <row r="16" spans="1:191" s="1" customFormat="1">
      <c r="A16" s="51"/>
      <c r="B16" s="166" t="s">
        <v>121</v>
      </c>
      <c r="C16" s="150" t="s">
        <v>948</v>
      </c>
      <c r="D16" s="150" t="s">
        <v>118</v>
      </c>
      <c r="E16" s="150" t="s">
        <v>141</v>
      </c>
      <c r="F16" s="150" t="s">
        <v>959</v>
      </c>
      <c r="G16" s="154" t="s">
        <v>965</v>
      </c>
      <c r="H16" s="155">
        <v>6000</v>
      </c>
      <c r="I16" s="88">
        <f t="shared" si="2"/>
        <v>1716</v>
      </c>
      <c r="J16" s="160">
        <v>10296000</v>
      </c>
      <c r="K16" s="147">
        <v>423786</v>
      </c>
      <c r="L16" s="150">
        <v>2016</v>
      </c>
      <c r="M16" s="163">
        <v>0.17</v>
      </c>
      <c r="N16" s="101">
        <f t="shared" ref="N16:N21" si="14">ROUND(K16*M16,0)</f>
        <v>72044</v>
      </c>
      <c r="O16" s="150">
        <v>1</v>
      </c>
      <c r="P16" s="90">
        <f t="shared" si="3"/>
        <v>0.15</v>
      </c>
      <c r="Q16" s="103">
        <f t="shared" ref="Q16:Q21" si="15">ROUND((K16+N16)*13%,0)</f>
        <v>64458</v>
      </c>
      <c r="R16" s="104">
        <f t="shared" si="4"/>
        <v>644331</v>
      </c>
      <c r="S16" s="276">
        <f t="shared" si="5"/>
        <v>84043</v>
      </c>
      <c r="T16" s="166">
        <v>2024</v>
      </c>
      <c r="U16" s="165">
        <v>2.5000000000000001E-2</v>
      </c>
      <c r="V16" s="165">
        <v>1.8700000000000001E-2</v>
      </c>
      <c r="W16" s="281">
        <f>IFERROR(IF(FutureTrunkParks[[#This Row],[Year of Provision]]&gt;2019,VLOOKUP(FutureTrunkParks[[#This Row],[Service Catchment]],'Catchment Demand -LFCF'!$C$8:$M$12,11,FALSE),""),"")</f>
        <v>0.24114593282346028</v>
      </c>
      <c r="X16" s="283">
        <f>_xlfn.IFS(FutureTrunkParks[[#This Row],[Year of Provision]]=2019,0,FutureTrunkParks[[#This Row],[Year of Provision]]=2024,FutureTrunkParks[[#This Row],[Total Assets Cost (at Base Year)]]/SUMIFS(AA$16:AA$21,T$16:T$21,"2024",E$16:E$21,FutureTrunkParks[[#This Row],[Service Catchment]]))</f>
        <v>0.70796169434827461</v>
      </c>
      <c r="Y16" s="283">
        <f>IF(AND(FutureTrunkParks[[#This Row],[Spare Capacity %]]&gt;30%,FutureTrunkParks[[#This Row],[Share of the total Cost with the same year of provision %]]&gt;20%),(1-FutureTrunkParks[[#This Row],[Spare Capacity %]]),1)</f>
        <v>1</v>
      </c>
      <c r="Z16" s="245">
        <f>IF(FutureTrunkParks[[#This Row],[ Terminal Value Analysis]]&lt;0,0,FutureTrunkParks[ [ Terminal Value Analysis] ])</f>
        <v>1</v>
      </c>
      <c r="AA16" s="105">
        <f t="shared" si="6"/>
        <v>10940331</v>
      </c>
      <c r="AB16" s="105">
        <f t="shared" si="7"/>
        <v>13291950</v>
      </c>
      <c r="AC16" s="105">
        <f t="shared" si="8"/>
        <v>8396397</v>
      </c>
      <c r="AD16" s="277">
        <f>FutureTrunkParks[[#This Row],[Net Present Value of Total Asset Cost]]*FutureTrunkParks[[#This Row],[Final Terminal value adjustment %]]</f>
        <v>8396397</v>
      </c>
      <c r="AE16" s="253" t="str">
        <f t="shared" ref="AE16:AE20" si="16">IF(OR(AE$13=$E16,$D16="Metropolitan",$D16="District"),"y","")</f>
        <v>y</v>
      </c>
      <c r="AF16" s="169" t="str">
        <f t="shared" si="9"/>
        <v>y</v>
      </c>
      <c r="AG16" s="169" t="str">
        <f t="shared" si="9"/>
        <v>y</v>
      </c>
      <c r="AH16" s="169" t="str">
        <f t="shared" si="9"/>
        <v>y</v>
      </c>
      <c r="AI16" s="254" t="str">
        <f t="shared" si="9"/>
        <v>y</v>
      </c>
      <c r="AJ16" s="254" t="str">
        <f t="shared" si="10"/>
        <v>y</v>
      </c>
      <c r="AK16" s="66"/>
      <c r="AL16" s="93" cm="1">
        <f t="array" ref="AL16">_xlfn.IFS(AND(AE16="y",$D16="Local"), 1, AND(AE16="y",$D16&lt;&gt;"Local"),1.49009696454663%, AE16="","")</f>
        <v>1.49009696454663E-2</v>
      </c>
      <c r="AM16" s="96" cm="1">
        <f t="array" ref="AM16">_xlfn.IFS(AND(AF16="y",$D16="Local"), 1, AND(AF16="y",$D16&lt;&gt;"Local"),20.7557554582461%, AF16="","")</f>
        <v>0.207557554582461</v>
      </c>
      <c r="AN16" s="96" cm="1">
        <f t="array" ref="AN16">_xlfn.IFS(AND(AG16="y",$D16="Local"), 1, AND(AG16="y",$D16&lt;&gt;"Local"),30.3499104327336%, AG16="","")</f>
        <v>0.30349910432733601</v>
      </c>
      <c r="AO16" s="96" cm="1">
        <f t="array" ref="AO16">_xlfn.IFS(AND(AH16="y",$D16="Local"), 1, AND(AH16="y",$D16&lt;&gt;"Local"),29.0043833288201%, AH16="","")</f>
        <v>0.29004383328820099</v>
      </c>
      <c r="AP16" s="96" cm="1">
        <f t="array" ref="AP16">_xlfn.IFS(AND(AI16="y",$D16="Local"), 1, AND(AI16="y",$D16&lt;&gt;"Local"),18.3998538156536%, AI16="","")</f>
        <v>0.183998538156536</v>
      </c>
      <c r="AQ16" s="97">
        <f t="shared" si="11"/>
        <v>1.0000000000000004</v>
      </c>
      <c r="AR16" s="66"/>
      <c r="AS16" s="98">
        <f t="shared" si="12"/>
        <v>125114.45682828425</v>
      </c>
      <c r="AT16" s="98">
        <f t="shared" si="12"/>
        <v>1742735.6286235112</v>
      </c>
      <c r="AU16" s="98">
        <f t="shared" si="12"/>
        <v>2548298.9690767303</v>
      </c>
      <c r="AV16" s="98">
        <f t="shared" si="12"/>
        <v>2435323.1716895499</v>
      </c>
      <c r="AW16" s="98">
        <f t="shared" si="12"/>
        <v>1544924.7737819236</v>
      </c>
      <c r="AX16" s="51"/>
      <c r="AY16" s="98">
        <f t="shared" si="13"/>
        <v>125114.45682828425</v>
      </c>
      <c r="AZ16" s="98">
        <f t="shared" si="13"/>
        <v>1742735.6286235112</v>
      </c>
      <c r="BA16" s="98">
        <f t="shared" si="13"/>
        <v>2548298.9690767303</v>
      </c>
      <c r="BB16" s="98">
        <f t="shared" si="13"/>
        <v>2435323.1716895499</v>
      </c>
      <c r="BC16" s="98">
        <f t="shared" si="13"/>
        <v>1544924.7737819236</v>
      </c>
      <c r="BD16" s="98">
        <f t="shared" ref="BD16:BD21" si="17">SUM(AY16:BC16)</f>
        <v>8396397</v>
      </c>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row>
    <row r="17" spans="1:191" s="1" customFormat="1">
      <c r="A17" s="51"/>
      <c r="B17" s="166" t="s">
        <v>954</v>
      </c>
      <c r="C17" s="150" t="s">
        <v>949</v>
      </c>
      <c r="D17" s="150" t="s">
        <v>118</v>
      </c>
      <c r="E17" s="150" t="s">
        <v>143</v>
      </c>
      <c r="F17" s="150" t="s">
        <v>960</v>
      </c>
      <c r="G17" s="154" t="s">
        <v>966</v>
      </c>
      <c r="H17" s="155">
        <v>11800</v>
      </c>
      <c r="I17" s="88">
        <f t="shared" si="2"/>
        <v>1316</v>
      </c>
      <c r="J17" s="160">
        <v>15528800</v>
      </c>
      <c r="K17" s="147">
        <v>470429</v>
      </c>
      <c r="L17" s="150">
        <v>2016</v>
      </c>
      <c r="M17" s="163">
        <v>0.17</v>
      </c>
      <c r="N17" s="101">
        <f t="shared" si="14"/>
        <v>79973</v>
      </c>
      <c r="O17" s="150">
        <v>1</v>
      </c>
      <c r="P17" s="90">
        <f t="shared" si="3"/>
        <v>0.15</v>
      </c>
      <c r="Q17" s="103">
        <f t="shared" si="15"/>
        <v>71552</v>
      </c>
      <c r="R17" s="104">
        <f t="shared" si="4"/>
        <v>715247</v>
      </c>
      <c r="S17" s="276">
        <f t="shared" si="5"/>
        <v>93293</v>
      </c>
      <c r="T17" s="166">
        <v>2024</v>
      </c>
      <c r="U17" s="165">
        <v>2.5000000000000001E-2</v>
      </c>
      <c r="V17" s="165">
        <v>1.8700000000000001E-2</v>
      </c>
      <c r="W17" s="281">
        <f>IFERROR(IF(FutureTrunkParks[[#This Row],[Year of Provision]]&gt;2019,VLOOKUP(FutureTrunkParks[[#This Row],[Service Catchment]],'Catchment Demand -LFCF'!$C$8:$M$12,11,FALSE),""),"")</f>
        <v>0.13524616317284069</v>
      </c>
      <c r="X17" s="283">
        <f>_xlfn.IFS(FutureTrunkParks[[#This Row],[Year of Provision]]=2019,0,FutureTrunkParks[[#This Row],[Year of Provision]]=2024,FutureTrunkParks[[#This Row],[Total Assets Cost (at Base Year)]]/SUMIFS(AA$16:AA$21,T$16:T$21,"2024",E$16:E$21,FutureTrunkParks[[#This Row],[Service Catchment]]))</f>
        <v>0.96957197794677796</v>
      </c>
      <c r="Y17" s="283">
        <f>IF(AND(FutureTrunkParks[[#This Row],[Spare Capacity %]]&gt;30%,FutureTrunkParks[[#This Row],[Share of the total Cost with the same year of provision %]]&gt;20%),(1-FutureTrunkParks[[#This Row],[Spare Capacity %]]),1)</f>
        <v>1</v>
      </c>
      <c r="Z17" s="245">
        <f>IF(FutureTrunkParks[[#This Row],[ Terminal Value Analysis]]&lt;0,0,FutureTrunkParks[ [ Terminal Value Analysis] ])</f>
        <v>1</v>
      </c>
      <c r="AA17" s="105">
        <f t="shared" si="6"/>
        <v>16244047</v>
      </c>
      <c r="AB17" s="105">
        <f t="shared" si="7"/>
        <v>19749854</v>
      </c>
      <c r="AC17" s="105">
        <f t="shared" si="8"/>
        <v>12475793</v>
      </c>
      <c r="AD17" s="277">
        <f>FutureTrunkParks[[#This Row],[Net Present Value of Total Asset Cost]]*FutureTrunkParks[[#This Row],[Final Terminal value adjustment %]]</f>
        <v>12475793</v>
      </c>
      <c r="AE17" s="253" t="str">
        <f t="shared" si="16"/>
        <v>y</v>
      </c>
      <c r="AF17" s="169" t="str">
        <f t="shared" si="9"/>
        <v>y</v>
      </c>
      <c r="AG17" s="169" t="str">
        <f t="shared" si="9"/>
        <v>y</v>
      </c>
      <c r="AH17" s="169" t="str">
        <f t="shared" si="9"/>
        <v>y</v>
      </c>
      <c r="AI17" s="254" t="str">
        <f t="shared" si="9"/>
        <v>y</v>
      </c>
      <c r="AJ17" s="254" t="str">
        <f t="shared" si="10"/>
        <v>y</v>
      </c>
      <c r="AK17" s="66"/>
      <c r="AL17" s="93" cm="1">
        <f t="array" ref="AL17">_xlfn.IFS(AND(AE17="y",$D17="Local"), 1, AND(AE17="y",$D17&lt;&gt;"Local"),1.49009696454663%, AE17="","")</f>
        <v>1.49009696454663E-2</v>
      </c>
      <c r="AM17" s="96" cm="1">
        <f t="array" ref="AM17">_xlfn.IFS(AND(AF17="y",$D17="Local"), 1, AND(AF17="y",$D17&lt;&gt;"Local"),20.7557554582461%, AF17="","")</f>
        <v>0.207557554582461</v>
      </c>
      <c r="AN17" s="96" cm="1">
        <f t="array" ref="AN17">_xlfn.IFS(AND(AG17="y",$D17="Local"), 1, AND(AG17="y",$D17&lt;&gt;"Local"),30.3499104327336%, AG17="","")</f>
        <v>0.30349910432733601</v>
      </c>
      <c r="AO17" s="96" cm="1">
        <f t="array" ref="AO17">_xlfn.IFS(AND(AH17="y",$D17="Local"), 1, AND(AH17="y",$D17&lt;&gt;"Local"),29.0043833288201%, AH17="","")</f>
        <v>0.29004383328820099</v>
      </c>
      <c r="AP17" s="96" cm="1">
        <f t="array" ref="AP17">_xlfn.IFS(AND(AI17="y",$D17="Local"), 1, AND(AI17="y",$D17&lt;&gt;"Local"),18.3998538156536%, AI17="","")</f>
        <v>0.183998538156536</v>
      </c>
      <c r="AQ17" s="97">
        <f t="shared" si="11"/>
        <v>1.0000000000000004</v>
      </c>
      <c r="AR17" s="66"/>
      <c r="AS17" s="98">
        <f t="shared" si="12"/>
        <v>185901.41279612086</v>
      </c>
      <c r="AT17" s="98">
        <f t="shared" si="12"/>
        <v>2589445.0865569836</v>
      </c>
      <c r="AU17" s="98">
        <f t="shared" si="12"/>
        <v>3786392.0012732469</v>
      </c>
      <c r="AV17" s="98">
        <f t="shared" si="12"/>
        <v>3618526.8250301033</v>
      </c>
      <c r="AW17" s="98">
        <f t="shared" si="12"/>
        <v>2295527.6743435436</v>
      </c>
      <c r="AX17" s="51"/>
      <c r="AY17" s="98">
        <f t="shared" si="13"/>
        <v>185901.41279612086</v>
      </c>
      <c r="AZ17" s="98">
        <f t="shared" si="13"/>
        <v>2589445.0865569836</v>
      </c>
      <c r="BA17" s="98">
        <f t="shared" si="13"/>
        <v>3786392.0012732469</v>
      </c>
      <c r="BB17" s="98">
        <f t="shared" si="13"/>
        <v>3618526.8250301033</v>
      </c>
      <c r="BC17" s="98">
        <f t="shared" si="13"/>
        <v>2295527.6743435436</v>
      </c>
      <c r="BD17" s="98">
        <f t="shared" si="17"/>
        <v>12475792.999999998</v>
      </c>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row>
    <row r="18" spans="1:191" s="1" customFormat="1">
      <c r="A18" s="51"/>
      <c r="B18" s="166" t="s">
        <v>955</v>
      </c>
      <c r="C18" s="150" t="s">
        <v>950</v>
      </c>
      <c r="D18" s="150" t="s">
        <v>118</v>
      </c>
      <c r="E18" s="150" t="s">
        <v>140</v>
      </c>
      <c r="F18" s="150" t="s">
        <v>961</v>
      </c>
      <c r="G18" s="154" t="s">
        <v>967</v>
      </c>
      <c r="H18" s="155">
        <v>2000</v>
      </c>
      <c r="I18" s="88">
        <f t="shared" si="2"/>
        <v>711</v>
      </c>
      <c r="J18" s="160">
        <v>1422000</v>
      </c>
      <c r="K18" s="147">
        <v>384903</v>
      </c>
      <c r="L18" s="150">
        <v>2016</v>
      </c>
      <c r="M18" s="163">
        <v>0.17</v>
      </c>
      <c r="N18" s="101">
        <f t="shared" si="14"/>
        <v>65434</v>
      </c>
      <c r="O18" s="150">
        <v>1</v>
      </c>
      <c r="P18" s="90">
        <f t="shared" si="3"/>
        <v>0.15</v>
      </c>
      <c r="Q18" s="103">
        <f t="shared" si="15"/>
        <v>58544</v>
      </c>
      <c r="R18" s="104">
        <f t="shared" si="4"/>
        <v>585213</v>
      </c>
      <c r="S18" s="276">
        <f t="shared" si="5"/>
        <v>76332</v>
      </c>
      <c r="T18" s="166">
        <v>2024</v>
      </c>
      <c r="U18" s="165">
        <v>2.5000000000000001E-2</v>
      </c>
      <c r="V18" s="165">
        <v>1.8700000000000001E-2</v>
      </c>
      <c r="W18" s="281">
        <f>IFERROR(IF(FutureTrunkParks[[#This Row],[Year of Provision]]&gt;2019,VLOOKUP(FutureTrunkParks[[#This Row],[Service Catchment]],'Catchment Demand -LFCF'!$C$8:$M$12,11,FALSE),""),"")</f>
        <v>0.22838373445626539</v>
      </c>
      <c r="X18" s="283">
        <f>_xlfn.IFS(FutureTrunkParks[[#This Row],[Year of Provision]]=2019,0,FutureTrunkParks[[#This Row],[Year of Provision]]=2024,FutureTrunkParks[[#This Row],[Total Assets Cost (at Base Year)]]/SUMIFS(AA$16:AA$21,T$16:T$21,"2024",E$16:E$21,FutureTrunkParks[[#This Row],[Service Catchment]]))</f>
        <v>1</v>
      </c>
      <c r="Y18" s="283">
        <f>IF(AND(FutureTrunkParks[[#This Row],[Spare Capacity %]]&gt;30%,FutureTrunkParks[[#This Row],[Share of the total Cost with the same year of provision %]]&gt;20%),(1-FutureTrunkParks[[#This Row],[Spare Capacity %]]),1)</f>
        <v>1</v>
      </c>
      <c r="Z18" s="245">
        <f>IF(FutureTrunkParks[[#This Row],[ Terminal Value Analysis]]&lt;0,0,FutureTrunkParks[ [ Terminal Value Analysis] ])</f>
        <v>1</v>
      </c>
      <c r="AA18" s="105">
        <f t="shared" si="6"/>
        <v>2007213</v>
      </c>
      <c r="AB18" s="105">
        <f t="shared" si="7"/>
        <v>2411279</v>
      </c>
      <c r="AC18" s="105">
        <f t="shared" si="8"/>
        <v>1523182</v>
      </c>
      <c r="AD18" s="277">
        <f>FutureTrunkParks[[#This Row],[Net Present Value of Total Asset Cost]]*FutureTrunkParks[[#This Row],[Final Terminal value adjustment %]]</f>
        <v>1523182</v>
      </c>
      <c r="AE18" s="253" t="str">
        <f t="shared" si="16"/>
        <v>y</v>
      </c>
      <c r="AF18" s="169" t="str">
        <f t="shared" si="9"/>
        <v>y</v>
      </c>
      <c r="AG18" s="169" t="str">
        <f t="shared" si="9"/>
        <v>y</v>
      </c>
      <c r="AH18" s="169" t="str">
        <f t="shared" si="9"/>
        <v>y</v>
      </c>
      <c r="AI18" s="254" t="str">
        <f t="shared" si="9"/>
        <v>y</v>
      </c>
      <c r="AJ18" s="254" t="str">
        <f t="shared" si="10"/>
        <v>y</v>
      </c>
      <c r="AK18" s="66"/>
      <c r="AL18" s="93" cm="1">
        <f t="array" ref="AL18">_xlfn.IFS(AND(AE18="y",$D18="Local"), 1, AND(AE18="y",$D18&lt;&gt;"Local"),1.49009696454663%, AE18="","")</f>
        <v>1.49009696454663E-2</v>
      </c>
      <c r="AM18" s="96" cm="1">
        <f t="array" ref="AM18">_xlfn.IFS(AND(AF18="y",$D18="Local"), 1, AND(AF18="y",$D18&lt;&gt;"Local"),20.7557554582461%, AF18="","")</f>
        <v>0.207557554582461</v>
      </c>
      <c r="AN18" s="96" cm="1">
        <f t="array" ref="AN18">_xlfn.IFS(AND(AG18="y",$D18="Local"), 1, AND(AG18="y",$D18&lt;&gt;"Local"),30.3499104327336%, AG18="","")</f>
        <v>0.30349910432733601</v>
      </c>
      <c r="AO18" s="96" cm="1">
        <f t="array" ref="AO18">_xlfn.IFS(AND(AH18="y",$D18="Local"), 1, AND(AH18="y",$D18&lt;&gt;"Local"),29.0043833288201%, AH18="","")</f>
        <v>0.29004383328820099</v>
      </c>
      <c r="AP18" s="96" cm="1">
        <f t="array" ref="AP18">_xlfn.IFS(AND(AI18="y",$D18="Local"), 1, AND(AI18="y",$D18&lt;&gt;"Local"),18.3998538156536%, AI18="","")</f>
        <v>0.183998538156536</v>
      </c>
      <c r="AQ18" s="97">
        <f t="shared" si="11"/>
        <v>1.0000000000000004</v>
      </c>
      <c r="AR18" s="66"/>
      <c r="AS18" s="98">
        <f t="shared" si="12"/>
        <v>22696.888746520639</v>
      </c>
      <c r="AT18" s="98">
        <f t="shared" si="12"/>
        <v>316147.93110402196</v>
      </c>
      <c r="AU18" s="98">
        <f t="shared" si="12"/>
        <v>462284.37272752012</v>
      </c>
      <c r="AV18" s="98">
        <f t="shared" si="12"/>
        <v>441789.54607558838</v>
      </c>
      <c r="AW18" s="98">
        <f t="shared" si="12"/>
        <v>280263.26134634868</v>
      </c>
      <c r="AX18" s="51"/>
      <c r="AY18" s="98">
        <f t="shared" si="13"/>
        <v>22696.888746520639</v>
      </c>
      <c r="AZ18" s="98">
        <f t="shared" si="13"/>
        <v>316147.93110402196</v>
      </c>
      <c r="BA18" s="98">
        <f t="shared" si="13"/>
        <v>462284.37272752012</v>
      </c>
      <c r="BB18" s="98">
        <f t="shared" si="13"/>
        <v>441789.54607558838</v>
      </c>
      <c r="BC18" s="98">
        <f t="shared" si="13"/>
        <v>280263.26134634868</v>
      </c>
      <c r="BD18" s="98">
        <f t="shared" si="17"/>
        <v>1523181.9999999995</v>
      </c>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row>
    <row r="19" spans="1:191" s="1" customFormat="1">
      <c r="A19" s="51"/>
      <c r="B19" s="166" t="s">
        <v>956</v>
      </c>
      <c r="C19" s="150" t="s">
        <v>951</v>
      </c>
      <c r="D19" s="150" t="s">
        <v>116</v>
      </c>
      <c r="E19" s="150" t="s">
        <v>142</v>
      </c>
      <c r="F19" s="150" t="s">
        <v>962</v>
      </c>
      <c r="G19" s="154" t="s">
        <v>968</v>
      </c>
      <c r="H19" s="155">
        <v>1800</v>
      </c>
      <c r="I19" s="88">
        <f t="shared" si="2"/>
        <v>2221</v>
      </c>
      <c r="J19" s="160">
        <v>3997800</v>
      </c>
      <c r="K19" s="147">
        <f>202217</f>
        <v>202217</v>
      </c>
      <c r="L19" s="150">
        <v>2016</v>
      </c>
      <c r="M19" s="163">
        <v>0.17</v>
      </c>
      <c r="N19" s="101">
        <f t="shared" si="14"/>
        <v>34377</v>
      </c>
      <c r="O19" s="150">
        <v>1</v>
      </c>
      <c r="P19" s="90">
        <f t="shared" si="3"/>
        <v>0.15</v>
      </c>
      <c r="Q19" s="103">
        <f t="shared" si="15"/>
        <v>30757</v>
      </c>
      <c r="R19" s="104">
        <f t="shared" si="4"/>
        <v>307454</v>
      </c>
      <c r="S19" s="276">
        <f t="shared" si="5"/>
        <v>40103</v>
      </c>
      <c r="T19" s="166">
        <v>2024</v>
      </c>
      <c r="U19" s="165">
        <v>2.5000000000000001E-2</v>
      </c>
      <c r="V19" s="165">
        <v>1.8700000000000001E-2</v>
      </c>
      <c r="W19" s="281">
        <f>IFERROR(IF(FutureTrunkParks[[#This Row],[Year of Provision]]&gt;2019,VLOOKUP(FutureTrunkParks[[#This Row],[Service Catchment]],'Catchment Demand -LFCF'!$C$8:$M$12,11,FALSE),""),"")</f>
        <v>0.30329021941543194</v>
      </c>
      <c r="X19" s="283">
        <f>_xlfn.IFS(FutureTrunkParks[[#This Row],[Year of Provision]]=2019,0,FutureTrunkParks[[#This Row],[Year of Provision]]=2024,FutureTrunkParks[[#This Row],[Total Assets Cost (at Base Year)]]/SUMIFS(AA$16:AA$21,T$16:T$21,"2024",E$16:E$21,FutureTrunkParks[[#This Row],[Service Catchment]]))</f>
        <v>1</v>
      </c>
      <c r="Y19" s="283">
        <f>IF(AND(FutureTrunkParks[[#This Row],[Spare Capacity %]]&gt;30%,FutureTrunkParks[[#This Row],[Share of the total Cost with the same year of provision %]]&gt;20%),(1-FutureTrunkParks[[#This Row],[Spare Capacity %]]),1)</f>
        <v>0.69670978058456812</v>
      </c>
      <c r="Z19" s="245">
        <f>IF(FutureTrunkParks[[#This Row],[ Terminal Value Analysis]]&lt;0,0,FutureTrunkParks[ [ Terminal Value Analysis] ])</f>
        <v>0.69670978058456812</v>
      </c>
      <c r="AA19" s="105">
        <f t="shared" si="6"/>
        <v>4305254</v>
      </c>
      <c r="AB19" s="105">
        <f t="shared" si="7"/>
        <v>5227506</v>
      </c>
      <c r="AC19" s="105">
        <f t="shared" si="8"/>
        <v>3302165</v>
      </c>
      <c r="AD19" s="277">
        <f>FutureTrunkParks[[#This Row],[Net Present Value of Total Asset Cost]]*FutureTrunkParks[[#This Row],[Final Terminal value adjustment %]]</f>
        <v>2300650.6526040402</v>
      </c>
      <c r="AE19" s="253" t="str">
        <f t="shared" si="16"/>
        <v/>
      </c>
      <c r="AF19" s="169" t="str">
        <f t="shared" si="9"/>
        <v/>
      </c>
      <c r="AG19" s="169" t="str">
        <f t="shared" si="9"/>
        <v/>
      </c>
      <c r="AH19" s="169" t="str">
        <f t="shared" si="9"/>
        <v>y</v>
      </c>
      <c r="AI19" s="254" t="str">
        <f t="shared" si="9"/>
        <v/>
      </c>
      <c r="AJ19" s="254" t="str">
        <f t="shared" si="10"/>
        <v/>
      </c>
      <c r="AK19" s="66"/>
      <c r="AL19" s="93" t="str" cm="1">
        <f t="array" ref="AL19">_xlfn.IFS(AND(AE19="y",$D19="Local"), 1, AND(AE19="y",$D19&lt;&gt;"Local"),1.49009696454663%, AE19="","")</f>
        <v/>
      </c>
      <c r="AM19" s="96" t="str" cm="1">
        <f t="array" ref="AM19">_xlfn.IFS(AND(AF19="y",$D19="Local"), 1, AND(AF19="y",$D19&lt;&gt;"Local"),20.7557554582461%, AF19="","")</f>
        <v/>
      </c>
      <c r="AN19" s="96" t="str" cm="1">
        <f t="array" ref="AN19">_xlfn.IFS(AND(AG19="y",$D19="Local"), 1, AND(AG19="y",$D19&lt;&gt;"Local"),30.3499104327336%, AG19="","")</f>
        <v/>
      </c>
      <c r="AO19" s="96" cm="1">
        <f t="array" ref="AO19">_xlfn.IFS(AND(AH19="y",$D19="Local"), 1, AND(AH19="y",$D19&lt;&gt;"Local"),29.0043833288201%, AH19="","")</f>
        <v>1</v>
      </c>
      <c r="AP19" s="96" t="str" cm="1">
        <f t="array" ref="AP19">_xlfn.IFS(AND(AI19="y",$D19="Local"), 1, AND(AI19="y",$D19&lt;&gt;"Local"),18.3998538156536%, AI19="","")</f>
        <v/>
      </c>
      <c r="AQ19" s="97">
        <f t="shared" si="11"/>
        <v>1</v>
      </c>
      <c r="AR19" s="66"/>
      <c r="AS19" s="98" t="str">
        <f t="shared" si="12"/>
        <v/>
      </c>
      <c r="AT19" s="98" t="str">
        <f t="shared" si="12"/>
        <v/>
      </c>
      <c r="AU19" s="98" t="str">
        <f t="shared" si="12"/>
        <v/>
      </c>
      <c r="AV19" s="98">
        <f t="shared" si="12"/>
        <v>3302165</v>
      </c>
      <c r="AW19" s="98" t="str">
        <f t="shared" si="12"/>
        <v/>
      </c>
      <c r="AX19" s="51"/>
      <c r="AY19" s="98" t="str">
        <f t="shared" si="13"/>
        <v/>
      </c>
      <c r="AZ19" s="98" t="str">
        <f t="shared" si="13"/>
        <v/>
      </c>
      <c r="BA19" s="98" t="str">
        <f t="shared" si="13"/>
        <v/>
      </c>
      <c r="BB19" s="98">
        <f t="shared" si="13"/>
        <v>2300650.6526040402</v>
      </c>
      <c r="BC19" s="98" t="str">
        <f t="shared" si="13"/>
        <v/>
      </c>
      <c r="BD19" s="98">
        <f t="shared" si="17"/>
        <v>2300650.6526040402</v>
      </c>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row>
    <row r="20" spans="1:191" s="1" customFormat="1">
      <c r="A20" s="51"/>
      <c r="B20" s="166" t="s">
        <v>957</v>
      </c>
      <c r="C20" s="150" t="s">
        <v>952</v>
      </c>
      <c r="D20" s="150" t="s">
        <v>116</v>
      </c>
      <c r="E20" s="150" t="s">
        <v>141</v>
      </c>
      <c r="F20" s="150" t="s">
        <v>961</v>
      </c>
      <c r="G20" s="154" t="s">
        <v>969</v>
      </c>
      <c r="H20" s="155">
        <v>1800</v>
      </c>
      <c r="I20" s="88">
        <f t="shared" si="2"/>
        <v>2261</v>
      </c>
      <c r="J20" s="160">
        <v>4069800</v>
      </c>
      <c r="K20" s="147">
        <v>291467</v>
      </c>
      <c r="L20" s="150">
        <v>2016</v>
      </c>
      <c r="M20" s="163">
        <v>0.17</v>
      </c>
      <c r="N20" s="101">
        <f t="shared" si="14"/>
        <v>49549</v>
      </c>
      <c r="O20" s="150">
        <v>1</v>
      </c>
      <c r="P20" s="90">
        <f t="shared" si="3"/>
        <v>0.15</v>
      </c>
      <c r="Q20" s="103">
        <f t="shared" si="15"/>
        <v>44332</v>
      </c>
      <c r="R20" s="104">
        <f t="shared" si="4"/>
        <v>443150</v>
      </c>
      <c r="S20" s="276">
        <f t="shared" si="5"/>
        <v>57802</v>
      </c>
      <c r="T20" s="166">
        <v>2024</v>
      </c>
      <c r="U20" s="165">
        <v>2.5000000000000001E-2</v>
      </c>
      <c r="V20" s="165">
        <v>1.8700000000000001E-2</v>
      </c>
      <c r="W20" s="281">
        <f>IFERROR(IF(FutureTrunkParks[[#This Row],[Year of Provision]]&gt;2019,VLOOKUP(FutureTrunkParks[[#This Row],[Service Catchment]],'Catchment Demand -LFCF'!$C$8:$M$12,11,FALSE),""),"")</f>
        <v>0.24114593282346028</v>
      </c>
      <c r="X20" s="283">
        <f>_xlfn.IFS(FutureTrunkParks[[#This Row],[Year of Provision]]=2019,0,FutureTrunkParks[[#This Row],[Year of Provision]]=2024,FutureTrunkParks[[#This Row],[Total Assets Cost (at Base Year)]]/SUMIFS(AA$16:AA$21,T$16:T$21,"2024",E$16:E$21,FutureTrunkParks[[#This Row],[Service Catchment]]))</f>
        <v>0.29203830565172534</v>
      </c>
      <c r="Y20" s="283">
        <f>IF(AND(FutureTrunkParks[[#This Row],[Spare Capacity %]]&gt;30%,FutureTrunkParks[[#This Row],[Share of the total Cost with the same year of provision %]]&gt;20%),(1-FutureTrunkParks[[#This Row],[Spare Capacity %]]),1)</f>
        <v>1</v>
      </c>
      <c r="Z20" s="245">
        <f>IF(FutureTrunkParks[[#This Row],[ Terminal Value Analysis]]&lt;0,0,FutureTrunkParks[ [ Terminal Value Analysis] ])</f>
        <v>1</v>
      </c>
      <c r="AA20" s="105">
        <f t="shared" si="6"/>
        <v>4512950</v>
      </c>
      <c r="AB20" s="105">
        <f t="shared" si="7"/>
        <v>5472607</v>
      </c>
      <c r="AC20" s="105">
        <f t="shared" si="8"/>
        <v>3456993</v>
      </c>
      <c r="AD20" s="277">
        <f>FutureTrunkParks[[#This Row],[Net Present Value of Total Asset Cost]]*FutureTrunkParks[[#This Row],[Final Terminal value adjustment %]]</f>
        <v>3456993</v>
      </c>
      <c r="AE20" s="253" t="str">
        <f t="shared" si="16"/>
        <v/>
      </c>
      <c r="AF20" s="169" t="str">
        <f t="shared" si="9"/>
        <v/>
      </c>
      <c r="AG20" s="169" t="str">
        <f t="shared" si="9"/>
        <v>y</v>
      </c>
      <c r="AH20" s="169" t="str">
        <f t="shared" si="9"/>
        <v/>
      </c>
      <c r="AI20" s="254" t="str">
        <f t="shared" si="9"/>
        <v/>
      </c>
      <c r="AJ20" s="254" t="str">
        <f t="shared" si="10"/>
        <v/>
      </c>
      <c r="AK20" s="66"/>
      <c r="AL20" s="93" t="str" cm="1">
        <f t="array" ref="AL20">_xlfn.IFS(AND(AE20="y",$D20="Local"), 1, AND(AE20="y",$D20&lt;&gt;"Local"),1.49009696454663%, AE20="","")</f>
        <v/>
      </c>
      <c r="AM20" s="96" t="str" cm="1">
        <f t="array" ref="AM20">_xlfn.IFS(AND(AF20="y",$D20="Local"), 1, AND(AF20="y",$D20&lt;&gt;"Local"),20.7557554582461%, AF20="","")</f>
        <v/>
      </c>
      <c r="AN20" s="96" cm="1">
        <f t="array" ref="AN20">_xlfn.IFS(AND(AG20="y",$D20="Local"), 1, AND(AG20="y",$D20&lt;&gt;"Local"),30.3499104327336%, AG20="","")</f>
        <v>1</v>
      </c>
      <c r="AO20" s="96" t="str" cm="1">
        <f t="array" ref="AO20">_xlfn.IFS(AND(AH20="y",$D20="Local"), 1, AND(AH20="y",$D20&lt;&gt;"Local"),29.0043833288201%, AH20="","")</f>
        <v/>
      </c>
      <c r="AP20" s="96" t="str" cm="1">
        <f t="array" ref="AP20">_xlfn.IFS(AND(AI20="y",$D20="Local"), 1, AND(AI20="y",$D20&lt;&gt;"Local"),18.3998538156536%, AI20="","")</f>
        <v/>
      </c>
      <c r="AQ20" s="97">
        <f t="shared" si="11"/>
        <v>1</v>
      </c>
      <c r="AR20" s="66"/>
      <c r="AS20" s="98" t="str">
        <f t="shared" si="12"/>
        <v/>
      </c>
      <c r="AT20" s="98" t="str">
        <f t="shared" si="12"/>
        <v/>
      </c>
      <c r="AU20" s="98">
        <f t="shared" si="12"/>
        <v>3456993</v>
      </c>
      <c r="AV20" s="98" t="str">
        <f t="shared" si="12"/>
        <v/>
      </c>
      <c r="AW20" s="98" t="str">
        <f t="shared" si="12"/>
        <v/>
      </c>
      <c r="AX20" s="51"/>
      <c r="AY20" s="98" t="str">
        <f t="shared" si="13"/>
        <v/>
      </c>
      <c r="AZ20" s="98" t="str">
        <f t="shared" si="13"/>
        <v/>
      </c>
      <c r="BA20" s="98">
        <f t="shared" si="13"/>
        <v>3456993</v>
      </c>
      <c r="BB20" s="98" t="str">
        <f t="shared" si="13"/>
        <v/>
      </c>
      <c r="BC20" s="98" t="str">
        <f t="shared" si="13"/>
        <v/>
      </c>
      <c r="BD20" s="98">
        <f t="shared" si="17"/>
        <v>3456993</v>
      </c>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row>
    <row r="21" spans="1:191" s="1" customFormat="1" ht="14" thickBot="1">
      <c r="A21" s="51"/>
      <c r="B21" s="316" t="s">
        <v>997</v>
      </c>
      <c r="C21" s="167" t="s">
        <v>970</v>
      </c>
      <c r="D21" s="151" t="s">
        <v>118</v>
      </c>
      <c r="E21" s="151" t="s">
        <v>143</v>
      </c>
      <c r="F21" s="151" t="s">
        <v>971</v>
      </c>
      <c r="G21" s="157" t="s">
        <v>972</v>
      </c>
      <c r="H21" s="158">
        <v>2000</v>
      </c>
      <c r="I21" s="145"/>
      <c r="J21" s="148">
        <v>0</v>
      </c>
      <c r="K21" s="294">
        <v>335294</v>
      </c>
      <c r="L21" s="151">
        <v>2016</v>
      </c>
      <c r="M21" s="317">
        <v>0.17</v>
      </c>
      <c r="N21" s="318">
        <f t="shared" si="14"/>
        <v>57000</v>
      </c>
      <c r="O21" s="151">
        <v>1</v>
      </c>
      <c r="P21" s="319">
        <f t="shared" si="3"/>
        <v>0.15</v>
      </c>
      <c r="Q21" s="320">
        <f t="shared" si="15"/>
        <v>50998</v>
      </c>
      <c r="R21" s="321">
        <f t="shared" si="4"/>
        <v>509786</v>
      </c>
      <c r="S21" s="322">
        <f t="shared" si="5"/>
        <v>66494</v>
      </c>
      <c r="T21" s="167">
        <v>2024</v>
      </c>
      <c r="U21" s="168">
        <v>2.5000000000000001E-2</v>
      </c>
      <c r="V21" s="168">
        <v>1.8700000000000001E-2</v>
      </c>
      <c r="W21" s="281">
        <f>IFERROR(IF(FutureTrunkParks[[#This Row],[Year of Provision]]&gt;2019,VLOOKUP(FutureTrunkParks[[#This Row],[Service Catchment]],'Catchment Demand -LFCF'!$C$8:$M$12,11,FALSE),""),"")</f>
        <v>0.13524616317284069</v>
      </c>
      <c r="X21" s="283">
        <f>_xlfn.IFS(FutureTrunkParks[[#This Row],[Year of Provision]]=2019,0,FutureTrunkParks[[#This Row],[Year of Provision]]=2024,FutureTrunkParks[[#This Row],[Total Assets Cost (at Base Year)]]/SUMIFS(AA$16:AA$21,T$16:T$21,"2024",E$16:E$21,FutureTrunkParks[[#This Row],[Service Catchment]]))</f>
        <v>3.0428022053222089E-2</v>
      </c>
      <c r="Y21" s="283">
        <f>IF(AND(FutureTrunkParks[[#This Row],[Spare Capacity %]]&gt;30%,FutureTrunkParks[[#This Row],[Share of the total Cost with the same year of provision %]]&gt;20%),(1-FutureTrunkParks[[#This Row],[Spare Capacity %]]),1)</f>
        <v>1</v>
      </c>
      <c r="Z21" s="245">
        <f>IF(FutureTrunkParks[[#This Row],[ Terminal Value Analysis]]&lt;0,0,FutureTrunkParks[ [ Terminal Value Analysis] ])</f>
        <v>1</v>
      </c>
      <c r="AA21" s="252">
        <f t="shared" si="6"/>
        <v>509786</v>
      </c>
      <c r="AB21" s="252">
        <f t="shared" si="7"/>
        <v>591233</v>
      </c>
      <c r="AC21" s="252">
        <f t="shared" si="8"/>
        <v>373476</v>
      </c>
      <c r="AD21" s="278">
        <f>FutureTrunkParks[[#This Row],[Net Present Value of Total Asset Cost]]*FutureTrunkParks[[#This Row],[Final Terminal value adjustment %]]</f>
        <v>373476</v>
      </c>
      <c r="AE21" s="340" t="s">
        <v>47</v>
      </c>
      <c r="AF21" s="255" t="s">
        <v>47</v>
      </c>
      <c r="AG21" s="255" t="s">
        <v>47</v>
      </c>
      <c r="AH21" s="255" t="s">
        <v>47</v>
      </c>
      <c r="AI21" s="313" t="s">
        <v>47</v>
      </c>
      <c r="AJ21" s="313" t="str">
        <f t="shared" si="10"/>
        <v>y</v>
      </c>
      <c r="AK21" s="66"/>
      <c r="AL21" s="337">
        <v>1.49009696454663E-2</v>
      </c>
      <c r="AM21" s="338">
        <v>0.207557554582461</v>
      </c>
      <c r="AN21" s="338">
        <v>0.30349910432733601</v>
      </c>
      <c r="AO21" s="338">
        <v>0.29004383328820099</v>
      </c>
      <c r="AP21" s="338">
        <v>0.183998538156536</v>
      </c>
      <c r="AQ21" s="339">
        <f t="shared" si="11"/>
        <v>1.0000000000000004</v>
      </c>
      <c r="AR21" s="66"/>
      <c r="AS21" s="99">
        <f t="shared" si="12"/>
        <v>5565.1545393101696</v>
      </c>
      <c r="AT21" s="99">
        <f t="shared" si="12"/>
        <v>77517.765255239181</v>
      </c>
      <c r="AU21" s="99">
        <f t="shared" si="12"/>
        <v>113349.63148775611</v>
      </c>
      <c r="AV21" s="99">
        <f t="shared" si="12"/>
        <v>108324.41068114412</v>
      </c>
      <c r="AW21" s="99">
        <f t="shared" si="12"/>
        <v>68719.03803655041</v>
      </c>
      <c r="AX21" s="51"/>
      <c r="AY21" s="99">
        <f t="shared" si="13"/>
        <v>5565.1545393101696</v>
      </c>
      <c r="AZ21" s="99">
        <f t="shared" si="13"/>
        <v>77517.765255239181</v>
      </c>
      <c r="BA21" s="99">
        <f t="shared" si="13"/>
        <v>113349.63148775611</v>
      </c>
      <c r="BB21" s="99">
        <f t="shared" si="13"/>
        <v>108324.41068114412</v>
      </c>
      <c r="BC21" s="99">
        <f t="shared" si="13"/>
        <v>68719.03803655041</v>
      </c>
      <c r="BD21" s="99">
        <f t="shared" si="17"/>
        <v>373475.99999999994</v>
      </c>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row>
    <row r="22" spans="1:191" ht="14" thickBot="1">
      <c r="B22" s="323"/>
      <c r="C22" s="323"/>
      <c r="D22" s="323"/>
      <c r="E22" s="323"/>
      <c r="F22" s="323"/>
      <c r="G22" s="323"/>
      <c r="H22" s="324"/>
      <c r="I22" s="325"/>
      <c r="J22" s="325"/>
      <c r="K22" s="325"/>
      <c r="L22" s="323"/>
      <c r="M22" s="326"/>
      <c r="N22" s="324"/>
      <c r="O22" s="323"/>
      <c r="P22" s="327"/>
      <c r="Q22" s="325"/>
      <c r="R22" s="325"/>
      <c r="S22" s="325"/>
      <c r="T22" s="323"/>
      <c r="U22" s="328"/>
      <c r="V22" s="328"/>
      <c r="W22" s="328" t="str">
        <f>IFERROR(IF(FutureTrunkParks[[#This Row],[Year of Provision]]&gt;2019,VLOOKUP(FutureTrunkParks[[#This Row],[Service Catchment]],'Catchment Demand -LFCF'!$C$8:$M$12,11,FALSE),""),"")</f>
        <v/>
      </c>
      <c r="X22" s="329"/>
      <c r="Y22" s="329"/>
      <c r="Z22" s="328"/>
      <c r="AA22" s="341">
        <f>SUM(AA15:AA21)</f>
        <v>39684720</v>
      </c>
      <c r="AB22" s="341">
        <f t="shared" ref="AB22:AD22" si="18">SUM(AB15:AB21)</f>
        <v>47988003</v>
      </c>
      <c r="AC22" s="341">
        <f t="shared" si="18"/>
        <v>30574799</v>
      </c>
      <c r="AD22" s="341">
        <f t="shared" si="18"/>
        <v>29573284.65260404</v>
      </c>
      <c r="AE22" s="323"/>
      <c r="AF22" s="323"/>
      <c r="AG22" s="323"/>
      <c r="AH22" s="323"/>
      <c r="AI22" s="323"/>
      <c r="AJ22" s="323"/>
      <c r="AK22" s="330"/>
      <c r="AL22" s="331"/>
      <c r="AM22" s="331"/>
      <c r="AN22" s="331"/>
      <c r="AO22" s="331"/>
      <c r="AP22" s="332"/>
      <c r="AQ22" s="331"/>
      <c r="AR22" s="330"/>
      <c r="AS22" s="332"/>
      <c r="AT22" s="332"/>
      <c r="AU22" s="332"/>
      <c r="AV22" s="332"/>
      <c r="AW22" s="332"/>
      <c r="AX22" s="311"/>
      <c r="AY22" s="332"/>
      <c r="AZ22" s="332"/>
      <c r="BA22" s="332"/>
      <c r="BB22" s="332"/>
      <c r="BC22" s="332"/>
      <c r="BD22" s="332"/>
      <c r="BE22" s="311"/>
    </row>
    <row r="23" spans="1:191">
      <c r="B23" s="311"/>
      <c r="C23" s="311"/>
      <c r="D23" s="311"/>
      <c r="E23" s="311"/>
      <c r="F23" s="311"/>
      <c r="G23" s="311"/>
      <c r="H23" s="334"/>
      <c r="I23" s="311"/>
      <c r="J23" s="311"/>
      <c r="K23" s="311"/>
      <c r="L23" s="311"/>
      <c r="M23" s="311"/>
      <c r="N23" s="311"/>
      <c r="O23" s="311"/>
      <c r="P23" s="311"/>
      <c r="Q23" s="335"/>
      <c r="R23" s="311"/>
      <c r="S23" s="311"/>
      <c r="T23" s="311"/>
      <c r="U23" s="336"/>
      <c r="V23" s="336"/>
      <c r="W23" s="336"/>
      <c r="X23" s="336"/>
      <c r="Y23" s="336"/>
      <c r="Z23" s="336"/>
      <c r="AA23" s="335"/>
      <c r="AB23" s="335"/>
      <c r="AC23" s="335"/>
      <c r="AD23" s="335"/>
      <c r="AE23" s="311"/>
      <c r="AF23" s="311"/>
      <c r="AG23" s="311"/>
      <c r="AH23" s="311"/>
      <c r="AI23" s="311"/>
      <c r="AJ23" s="311"/>
      <c r="AK23" s="330"/>
      <c r="AL23" s="330"/>
      <c r="AM23" s="330"/>
      <c r="AN23" s="330"/>
      <c r="AO23" s="330"/>
      <c r="AP23" s="311"/>
      <c r="AQ23" s="330"/>
      <c r="AR23" s="330"/>
      <c r="AS23" s="311"/>
      <c r="AT23" s="311"/>
      <c r="AU23" s="311"/>
      <c r="AV23" s="311"/>
      <c r="AW23" s="311"/>
      <c r="AX23" s="311"/>
      <c r="AY23" s="311"/>
      <c r="AZ23" s="311"/>
      <c r="BA23" s="311"/>
      <c r="BB23" s="311"/>
      <c r="BC23" s="311"/>
      <c r="BD23" s="311"/>
      <c r="BE23" s="311"/>
    </row>
    <row r="24" spans="1:191">
      <c r="B24" s="311"/>
      <c r="C24" s="311"/>
      <c r="D24" s="311"/>
      <c r="E24" s="311"/>
      <c r="F24" s="311"/>
      <c r="G24" s="311"/>
      <c r="H24" s="334"/>
      <c r="I24" s="311"/>
      <c r="J24" s="311"/>
      <c r="K24" s="311"/>
      <c r="L24" s="311"/>
      <c r="M24" s="311"/>
      <c r="N24" s="311"/>
      <c r="O24" s="311"/>
      <c r="P24" s="311"/>
      <c r="Q24" s="335"/>
      <c r="R24" s="311"/>
      <c r="S24" s="311"/>
      <c r="T24" s="311"/>
      <c r="U24" s="336"/>
      <c r="V24" s="336"/>
      <c r="W24" s="336"/>
      <c r="X24" s="336"/>
      <c r="Y24" s="336"/>
      <c r="Z24" s="336"/>
      <c r="AA24" s="335"/>
      <c r="AB24" s="335"/>
      <c r="AC24" s="335"/>
      <c r="AD24" s="335"/>
      <c r="AE24" s="311"/>
      <c r="AF24" s="311"/>
      <c r="AG24" s="311"/>
      <c r="AH24" s="311"/>
      <c r="AI24" s="311"/>
      <c r="AJ24" s="311"/>
      <c r="AK24" s="330"/>
      <c r="AL24" s="330"/>
      <c r="AM24" s="330"/>
      <c r="AN24" s="330"/>
      <c r="AO24" s="330"/>
      <c r="AP24" s="311"/>
      <c r="AQ24" s="330"/>
      <c r="AR24" s="330"/>
      <c r="AS24" s="311"/>
      <c r="AT24" s="311"/>
      <c r="AU24" s="311"/>
      <c r="AV24" s="311"/>
      <c r="AW24" s="311"/>
      <c r="AX24" s="311"/>
      <c r="AY24" s="311"/>
      <c r="AZ24" s="311"/>
      <c r="BA24" s="311"/>
      <c r="BB24" s="311"/>
      <c r="BC24" s="311"/>
      <c r="BD24" s="311"/>
      <c r="BE24" s="311"/>
    </row>
    <row r="25" spans="1:191">
      <c r="B25" s="311"/>
      <c r="C25" s="311"/>
      <c r="D25" s="311"/>
      <c r="E25" s="311"/>
      <c r="F25" s="311"/>
      <c r="G25" s="311"/>
      <c r="H25" s="334"/>
      <c r="I25" s="311"/>
      <c r="J25" s="311"/>
      <c r="K25" s="311"/>
      <c r="L25" s="311"/>
      <c r="M25" s="311"/>
      <c r="N25" s="311"/>
      <c r="O25" s="311"/>
      <c r="P25" s="311"/>
      <c r="Q25" s="335"/>
      <c r="R25" s="311"/>
      <c r="S25" s="311"/>
      <c r="T25" s="311"/>
      <c r="U25" s="336"/>
      <c r="V25" s="336"/>
      <c r="W25" s="336"/>
      <c r="X25" s="336"/>
      <c r="Y25" s="336"/>
      <c r="Z25" s="336"/>
      <c r="AA25" s="335"/>
      <c r="AB25" s="335"/>
      <c r="AC25" s="335"/>
      <c r="AD25" s="335"/>
      <c r="AE25" s="311"/>
      <c r="AF25" s="311"/>
      <c r="AG25" s="311"/>
      <c r="AH25" s="311"/>
      <c r="AI25" s="311"/>
      <c r="AJ25" s="311"/>
      <c r="AK25" s="330"/>
      <c r="AL25" s="330"/>
      <c r="AM25" s="330"/>
      <c r="AN25" s="330"/>
      <c r="AO25" s="330"/>
      <c r="AP25" s="311"/>
      <c r="AQ25" s="330"/>
      <c r="AR25" s="330"/>
      <c r="AS25" s="311"/>
      <c r="AT25" s="311"/>
      <c r="AU25" s="311"/>
      <c r="AV25" s="311"/>
      <c r="AW25" s="311"/>
      <c r="AX25" s="311"/>
      <c r="AY25" s="311"/>
      <c r="AZ25" s="311"/>
      <c r="BA25" s="311"/>
      <c r="BB25" s="311"/>
      <c r="BC25" s="311"/>
      <c r="BD25" s="311"/>
      <c r="BE25" s="311"/>
    </row>
    <row r="26" spans="1:191">
      <c r="B26" s="311"/>
      <c r="C26" s="311"/>
      <c r="D26" s="311"/>
      <c r="E26" s="311"/>
      <c r="F26" s="311"/>
      <c r="G26" s="311"/>
      <c r="H26" s="334"/>
      <c r="I26" s="311"/>
      <c r="J26" s="311"/>
      <c r="K26" s="311"/>
      <c r="L26" s="311"/>
      <c r="M26" s="311"/>
      <c r="N26" s="311"/>
      <c r="O26" s="311"/>
      <c r="P26" s="311"/>
      <c r="Q26" s="335"/>
      <c r="R26" s="311"/>
      <c r="S26" s="311"/>
      <c r="T26" s="311"/>
      <c r="U26" s="336"/>
      <c r="V26" s="336"/>
      <c r="W26" s="336"/>
      <c r="X26" s="336"/>
      <c r="Y26" s="336"/>
      <c r="Z26" s="336"/>
      <c r="AA26" s="335"/>
      <c r="AB26" s="335"/>
      <c r="AC26" s="335"/>
      <c r="AD26" s="335"/>
      <c r="AE26" s="311"/>
      <c r="AF26" s="311"/>
      <c r="AG26" s="311"/>
      <c r="AH26" s="311"/>
      <c r="AI26" s="311"/>
      <c r="AJ26" s="311"/>
      <c r="AK26" s="330"/>
      <c r="AL26" s="330"/>
      <c r="AM26" s="330"/>
      <c r="AN26" s="330"/>
      <c r="AO26" s="330"/>
      <c r="AP26" s="311"/>
      <c r="AQ26" s="330"/>
      <c r="AR26" s="330"/>
      <c r="AS26" s="311"/>
      <c r="AT26" s="311"/>
      <c r="AU26" s="311"/>
      <c r="AV26" s="311"/>
      <c r="AW26" s="311"/>
      <c r="AX26" s="311"/>
      <c r="AY26" s="311"/>
      <c r="AZ26" s="311"/>
      <c r="BA26" s="311"/>
      <c r="BB26" s="311"/>
      <c r="BC26" s="311"/>
      <c r="BD26" s="311"/>
      <c r="BE26" s="311"/>
    </row>
    <row r="27" spans="1:191">
      <c r="B27" s="311"/>
      <c r="C27" s="311"/>
      <c r="D27" s="311"/>
      <c r="E27" s="311"/>
      <c r="F27" s="311"/>
      <c r="G27" s="311"/>
      <c r="H27" s="334"/>
      <c r="I27" s="311"/>
      <c r="J27" s="311"/>
      <c r="K27" s="311"/>
      <c r="L27" s="311"/>
      <c r="M27" s="311"/>
      <c r="N27" s="311"/>
      <c r="O27" s="311"/>
      <c r="P27" s="311"/>
      <c r="Q27" s="335"/>
      <c r="R27" s="311"/>
      <c r="S27" s="311"/>
      <c r="T27" s="311"/>
      <c r="U27" s="336"/>
      <c r="V27" s="336"/>
      <c r="W27" s="336"/>
      <c r="X27" s="336"/>
      <c r="Y27" s="336"/>
      <c r="Z27" s="336"/>
      <c r="AA27" s="335"/>
      <c r="AB27" s="335"/>
      <c r="AC27" s="335"/>
      <c r="AD27" s="335"/>
      <c r="AE27" s="311"/>
      <c r="AF27" s="311"/>
      <c r="AG27" s="311"/>
      <c r="AH27" s="311"/>
      <c r="AI27" s="311"/>
      <c r="AJ27" s="311"/>
      <c r="AK27" s="330"/>
      <c r="AL27" s="330"/>
      <c r="AM27" s="330"/>
      <c r="AN27" s="330"/>
      <c r="AO27" s="330"/>
      <c r="AP27" s="311"/>
      <c r="AQ27" s="330"/>
      <c r="AR27" s="330"/>
      <c r="AS27" s="311"/>
      <c r="AT27" s="311"/>
      <c r="AU27" s="311"/>
      <c r="AV27" s="311"/>
      <c r="AW27" s="311"/>
      <c r="AX27" s="311"/>
      <c r="AY27" s="311"/>
      <c r="AZ27" s="311"/>
      <c r="BA27" s="311"/>
      <c r="BB27" s="311"/>
      <c r="BC27" s="311"/>
      <c r="BD27" s="311"/>
      <c r="BE27" s="311"/>
    </row>
    <row r="28" spans="1:191">
      <c r="A28" s="311"/>
      <c r="B28" s="311"/>
      <c r="C28" s="311"/>
      <c r="D28" s="311"/>
      <c r="E28" s="311"/>
      <c r="F28" s="333"/>
      <c r="G28" s="311"/>
      <c r="H28" s="311"/>
      <c r="I28" s="311"/>
      <c r="J28" s="311"/>
      <c r="K28" s="311"/>
      <c r="L28" s="311"/>
      <c r="M28" s="311"/>
      <c r="N28" s="335"/>
      <c r="O28" s="311"/>
      <c r="P28" s="311"/>
      <c r="Q28" s="311"/>
      <c r="R28" s="336"/>
      <c r="S28" s="336"/>
      <c r="T28" s="336"/>
      <c r="U28" s="336"/>
      <c r="V28" s="336"/>
      <c r="W28" s="336"/>
      <c r="X28" s="335"/>
      <c r="Y28" s="335"/>
      <c r="Z28" s="335"/>
      <c r="AA28" s="335"/>
      <c r="AB28" s="311"/>
      <c r="AC28" s="311"/>
      <c r="AD28" s="311"/>
      <c r="AE28" s="311"/>
      <c r="AF28" s="311"/>
      <c r="AG28" s="311"/>
      <c r="AH28" s="311"/>
      <c r="AI28" s="311"/>
      <c r="AJ28" s="330"/>
      <c r="AK28" s="330"/>
      <c r="AL28" s="330"/>
      <c r="AM28" s="311"/>
      <c r="AN28" s="311"/>
      <c r="AO28" s="311"/>
      <c r="AP28" s="311"/>
      <c r="AQ28" s="311"/>
      <c r="AR28" s="311"/>
      <c r="AS28" s="311"/>
      <c r="AT28" s="311"/>
      <c r="AU28" s="311"/>
      <c r="AV28" s="311"/>
      <c r="AW28" s="311"/>
      <c r="AX28" s="311"/>
      <c r="AY28" s="311"/>
      <c r="AZ28" s="311"/>
      <c r="BA28" s="311"/>
      <c r="BB28" s="311"/>
      <c r="BC28" s="311"/>
    </row>
    <row r="29" spans="1:191">
      <c r="F29" s="133"/>
      <c r="H29" s="51"/>
      <c r="N29" s="86"/>
      <c r="Q29" s="51"/>
      <c r="R29" s="92"/>
      <c r="S29" s="92"/>
      <c r="T29" s="92"/>
      <c r="X29" s="86"/>
      <c r="Y29" s="86"/>
      <c r="Z29" s="86"/>
      <c r="AB29" s="51"/>
      <c r="AC29" s="51"/>
      <c r="AD29" s="51"/>
      <c r="AJ29" s="66"/>
      <c r="AM29" s="51"/>
      <c r="AN29" s="51"/>
      <c r="AO29" s="51"/>
      <c r="AQ29" s="51"/>
      <c r="AR29" s="51"/>
    </row>
    <row r="30" spans="1:191">
      <c r="F30" s="133"/>
      <c r="H30" s="51"/>
      <c r="N30" s="86"/>
      <c r="Q30" s="51"/>
      <c r="R30" s="92"/>
      <c r="S30" s="92"/>
      <c r="T30" s="92"/>
      <c r="X30" s="86"/>
      <c r="Y30" s="86"/>
      <c r="Z30" s="86"/>
      <c r="AB30" s="51"/>
      <c r="AC30" s="51"/>
      <c r="AD30" s="51"/>
      <c r="AK30" s="51"/>
      <c r="AL30" s="51"/>
      <c r="AM30" s="51"/>
      <c r="AN30" s="51"/>
      <c r="AO30" s="51"/>
      <c r="AQ30" s="51"/>
      <c r="AR30" s="51"/>
    </row>
    <row r="31" spans="1:191">
      <c r="F31" s="133"/>
      <c r="H31" s="51"/>
      <c r="N31" s="86"/>
      <c r="Q31" s="51"/>
      <c r="R31" s="92"/>
      <c r="S31" s="92"/>
      <c r="T31" s="92"/>
      <c r="X31" s="86"/>
      <c r="Y31" s="86"/>
      <c r="Z31" s="86"/>
      <c r="AB31" s="51"/>
      <c r="AC31" s="51"/>
      <c r="AD31" s="51"/>
      <c r="AK31" s="51"/>
      <c r="AL31" s="51"/>
      <c r="AM31" s="51"/>
      <c r="AN31" s="51"/>
      <c r="AO31" s="51"/>
      <c r="AQ31" s="51"/>
      <c r="AR31" s="51"/>
    </row>
    <row r="32" spans="1:191">
      <c r="F32" s="133"/>
      <c r="H32" s="51"/>
      <c r="N32" s="86"/>
      <c r="Q32" s="51"/>
      <c r="R32" s="92"/>
      <c r="S32" s="92"/>
      <c r="T32" s="92"/>
      <c r="X32" s="86"/>
      <c r="Y32" s="86"/>
      <c r="Z32" s="86"/>
      <c r="AB32" s="51"/>
      <c r="AC32" s="51"/>
      <c r="AD32" s="51"/>
      <c r="AK32" s="51"/>
      <c r="AL32" s="51"/>
      <c r="AM32" s="51"/>
      <c r="AN32" s="51"/>
      <c r="AO32" s="51"/>
      <c r="AQ32" s="51"/>
      <c r="AR32" s="51"/>
    </row>
    <row r="33" spans="6:44">
      <c r="F33" s="133"/>
      <c r="H33" s="51"/>
      <c r="N33" s="86"/>
      <c r="Q33" s="51"/>
      <c r="R33" s="92"/>
      <c r="S33" s="92"/>
      <c r="T33" s="92"/>
      <c r="X33" s="86"/>
      <c r="Y33" s="86"/>
      <c r="Z33" s="86"/>
      <c r="AB33" s="51"/>
      <c r="AC33" s="51"/>
      <c r="AD33" s="51"/>
      <c r="AK33" s="51"/>
      <c r="AL33" s="51"/>
      <c r="AM33" s="51"/>
      <c r="AN33" s="51"/>
      <c r="AO33" s="51"/>
      <c r="AQ33" s="51"/>
      <c r="AR33" s="51"/>
    </row>
    <row r="34" spans="6:44">
      <c r="F34" s="133"/>
      <c r="H34" s="51"/>
      <c r="N34" s="86"/>
      <c r="Q34" s="51"/>
      <c r="R34" s="92"/>
      <c r="S34" s="92"/>
      <c r="T34" s="92"/>
      <c r="X34" s="86"/>
      <c r="Y34" s="86"/>
      <c r="Z34" s="86"/>
      <c r="AB34" s="51"/>
      <c r="AC34" s="51"/>
      <c r="AD34" s="51"/>
      <c r="AK34" s="51"/>
      <c r="AL34" s="51"/>
      <c r="AM34" s="51"/>
      <c r="AN34" s="51"/>
      <c r="AO34" s="51"/>
      <c r="AQ34" s="51"/>
      <c r="AR34" s="51"/>
    </row>
    <row r="35" spans="6:44">
      <c r="F35" s="133"/>
      <c r="H35" s="51"/>
      <c r="N35" s="86"/>
      <c r="Q35" s="51"/>
      <c r="R35" s="92"/>
      <c r="S35" s="92"/>
      <c r="T35" s="92"/>
      <c r="X35" s="86"/>
      <c r="Y35" s="86"/>
      <c r="Z35" s="86"/>
      <c r="AB35" s="51"/>
      <c r="AC35" s="51"/>
      <c r="AD35" s="51"/>
      <c r="AK35" s="51"/>
      <c r="AL35" s="51"/>
      <c r="AM35" s="51"/>
      <c r="AN35" s="51"/>
      <c r="AO35" s="51"/>
      <c r="AQ35" s="51"/>
      <c r="AR35" s="51"/>
    </row>
    <row r="36" spans="6:44">
      <c r="F36" s="133"/>
      <c r="H36" s="51"/>
      <c r="N36" s="86"/>
      <c r="Q36" s="51"/>
      <c r="R36" s="92"/>
      <c r="S36" s="92"/>
      <c r="T36" s="92"/>
      <c r="X36" s="86"/>
      <c r="Y36" s="86"/>
      <c r="Z36" s="86"/>
      <c r="AB36" s="51"/>
      <c r="AC36" s="51"/>
      <c r="AD36" s="51"/>
      <c r="AK36" s="51"/>
      <c r="AL36" s="51"/>
      <c r="AM36" s="51"/>
      <c r="AN36" s="51"/>
      <c r="AO36" s="51"/>
      <c r="AQ36" s="51"/>
      <c r="AR36" s="51"/>
    </row>
    <row r="37" spans="6:44">
      <c r="F37" s="133"/>
      <c r="H37" s="51"/>
      <c r="N37" s="86"/>
      <c r="Q37" s="51"/>
      <c r="R37" s="92"/>
      <c r="S37" s="92"/>
      <c r="T37" s="92"/>
      <c r="X37" s="86"/>
      <c r="Y37" s="86"/>
      <c r="Z37" s="86"/>
      <c r="AB37" s="51"/>
      <c r="AC37" s="51"/>
      <c r="AD37" s="51"/>
      <c r="AK37" s="51"/>
      <c r="AL37" s="51"/>
      <c r="AM37" s="51"/>
      <c r="AN37" s="51"/>
      <c r="AO37" s="51"/>
      <c r="AQ37" s="51"/>
      <c r="AR37" s="51"/>
    </row>
    <row r="38" spans="6:44">
      <c r="F38" s="133"/>
      <c r="H38" s="51"/>
      <c r="N38" s="86"/>
      <c r="Q38" s="51"/>
      <c r="R38" s="92"/>
      <c r="S38" s="92"/>
      <c r="T38" s="92"/>
      <c r="X38" s="86"/>
      <c r="Y38" s="86"/>
      <c r="Z38" s="86"/>
      <c r="AB38" s="51"/>
      <c r="AC38" s="51"/>
      <c r="AD38" s="51"/>
      <c r="AK38" s="51"/>
      <c r="AL38" s="51"/>
      <c r="AM38" s="51"/>
      <c r="AN38" s="51"/>
      <c r="AO38" s="51"/>
      <c r="AQ38" s="51"/>
      <c r="AR38" s="51"/>
    </row>
    <row r="39" spans="6:44">
      <c r="F39" s="133"/>
      <c r="H39" s="51"/>
      <c r="N39" s="86"/>
      <c r="Q39" s="51"/>
      <c r="R39" s="92"/>
      <c r="S39" s="92"/>
      <c r="T39" s="92"/>
      <c r="X39" s="86"/>
      <c r="Y39" s="86"/>
      <c r="Z39" s="86"/>
      <c r="AB39" s="51"/>
      <c r="AC39" s="51"/>
      <c r="AD39" s="51"/>
      <c r="AK39" s="51"/>
      <c r="AL39" s="51"/>
      <c r="AM39" s="51"/>
      <c r="AN39" s="51"/>
      <c r="AO39" s="51"/>
      <c r="AQ39" s="51"/>
      <c r="AR39" s="51"/>
    </row>
    <row r="40" spans="6:44">
      <c r="F40" s="133"/>
      <c r="H40" s="51"/>
      <c r="N40" s="86"/>
      <c r="Q40" s="51"/>
      <c r="R40" s="92"/>
      <c r="S40" s="92"/>
      <c r="T40" s="92"/>
      <c r="X40" s="86"/>
      <c r="Y40" s="86"/>
      <c r="Z40" s="86"/>
      <c r="AB40" s="51"/>
      <c r="AC40" s="51"/>
      <c r="AD40" s="51"/>
      <c r="AK40" s="51"/>
      <c r="AL40" s="51"/>
      <c r="AM40" s="51"/>
      <c r="AN40" s="51"/>
      <c r="AO40" s="51"/>
      <c r="AQ40" s="51"/>
      <c r="AR40" s="51"/>
    </row>
    <row r="41" spans="6:44">
      <c r="F41" s="133"/>
      <c r="H41" s="51"/>
      <c r="N41" s="86"/>
      <c r="Q41" s="51"/>
      <c r="R41" s="92"/>
      <c r="S41" s="92"/>
      <c r="T41" s="92"/>
      <c r="X41" s="86"/>
      <c r="Y41" s="86"/>
      <c r="Z41" s="86"/>
      <c r="AB41" s="51"/>
      <c r="AC41" s="51"/>
      <c r="AD41" s="51"/>
      <c r="AK41" s="51"/>
      <c r="AL41" s="51"/>
      <c r="AM41" s="51"/>
      <c r="AN41" s="51"/>
      <c r="AO41" s="51"/>
      <c r="AQ41" s="51"/>
      <c r="AR41" s="51"/>
    </row>
    <row r="42" spans="6:44">
      <c r="F42" s="133"/>
      <c r="H42" s="51"/>
      <c r="N42" s="86"/>
      <c r="Q42" s="51"/>
      <c r="R42" s="92"/>
      <c r="S42" s="92"/>
      <c r="T42" s="92"/>
      <c r="X42" s="86"/>
      <c r="Y42" s="86"/>
      <c r="Z42" s="86"/>
      <c r="AB42" s="51"/>
      <c r="AC42" s="51"/>
      <c r="AD42" s="51"/>
      <c r="AK42" s="51"/>
      <c r="AL42" s="51"/>
      <c r="AM42" s="51"/>
      <c r="AN42" s="51"/>
      <c r="AO42" s="51"/>
      <c r="AQ42" s="51"/>
      <c r="AR42" s="51"/>
    </row>
    <row r="43" spans="6:44">
      <c r="F43" s="133"/>
      <c r="H43" s="51"/>
      <c r="N43" s="86"/>
      <c r="Q43" s="51"/>
      <c r="R43" s="92"/>
      <c r="S43" s="92"/>
      <c r="T43" s="92"/>
      <c r="X43" s="86"/>
      <c r="Y43" s="86"/>
      <c r="Z43" s="86"/>
      <c r="AB43" s="51"/>
      <c r="AC43" s="51"/>
      <c r="AD43" s="51"/>
      <c r="AK43" s="51"/>
      <c r="AL43" s="51"/>
      <c r="AM43" s="51"/>
      <c r="AN43" s="51"/>
      <c r="AO43" s="51"/>
      <c r="AQ43" s="51"/>
      <c r="AR43" s="51"/>
    </row>
    <row r="44" spans="6:44">
      <c r="F44" s="133"/>
      <c r="H44" s="51"/>
      <c r="N44" s="86"/>
      <c r="Q44" s="51"/>
      <c r="R44" s="92"/>
      <c r="S44" s="92"/>
      <c r="T44" s="92"/>
      <c r="X44" s="86"/>
      <c r="Y44" s="86"/>
      <c r="Z44" s="86"/>
      <c r="AB44" s="51"/>
      <c r="AC44" s="51"/>
      <c r="AD44" s="51"/>
      <c r="AK44" s="51"/>
      <c r="AL44" s="51"/>
      <c r="AM44" s="51"/>
      <c r="AN44" s="51"/>
      <c r="AO44" s="51"/>
      <c r="AQ44" s="51"/>
      <c r="AR44" s="51"/>
    </row>
    <row r="45" spans="6:44">
      <c r="F45" s="133"/>
      <c r="H45" s="51"/>
      <c r="N45" s="86"/>
      <c r="Q45" s="51"/>
      <c r="R45" s="92"/>
      <c r="S45" s="92"/>
      <c r="T45" s="92"/>
      <c r="X45" s="86"/>
      <c r="Y45" s="86"/>
      <c r="Z45" s="86"/>
      <c r="AB45" s="51"/>
      <c r="AC45" s="51"/>
      <c r="AD45" s="51"/>
      <c r="AK45" s="51"/>
      <c r="AL45" s="51"/>
      <c r="AM45" s="51"/>
      <c r="AN45" s="51"/>
      <c r="AO45" s="51"/>
      <c r="AQ45" s="51"/>
      <c r="AR45" s="51"/>
    </row>
    <row r="46" spans="6:44">
      <c r="F46" s="133"/>
      <c r="H46" s="51"/>
      <c r="N46" s="86"/>
      <c r="Q46" s="51"/>
      <c r="R46" s="92"/>
      <c r="S46" s="92"/>
      <c r="T46" s="92"/>
      <c r="X46" s="86"/>
      <c r="Y46" s="86"/>
      <c r="Z46" s="86"/>
      <c r="AB46" s="51"/>
      <c r="AC46" s="51"/>
      <c r="AD46" s="51"/>
      <c r="AK46" s="51"/>
      <c r="AL46" s="51"/>
      <c r="AM46" s="51"/>
      <c r="AN46" s="51"/>
      <c r="AO46" s="51"/>
      <c r="AQ46" s="51"/>
      <c r="AR46" s="51"/>
    </row>
    <row r="47" spans="6:44">
      <c r="F47" s="133"/>
      <c r="H47" s="51"/>
      <c r="N47" s="86"/>
      <c r="Q47" s="51"/>
      <c r="R47" s="92"/>
      <c r="S47" s="92"/>
      <c r="T47" s="92"/>
      <c r="X47" s="86"/>
      <c r="Y47" s="86"/>
      <c r="Z47" s="86"/>
      <c r="AB47" s="51"/>
      <c r="AC47" s="51"/>
      <c r="AD47" s="51"/>
      <c r="AK47" s="51"/>
      <c r="AL47" s="51"/>
      <c r="AM47" s="51"/>
      <c r="AN47" s="51"/>
      <c r="AO47" s="51"/>
      <c r="AQ47" s="51"/>
      <c r="AR47" s="51"/>
    </row>
    <row r="48" spans="6:44">
      <c r="F48" s="133"/>
      <c r="H48" s="51"/>
      <c r="N48" s="86"/>
      <c r="Q48" s="51"/>
      <c r="R48" s="92"/>
      <c r="S48" s="92"/>
      <c r="T48" s="92"/>
      <c r="X48" s="86"/>
      <c r="Y48" s="86"/>
      <c r="Z48" s="86"/>
      <c r="AB48" s="51"/>
      <c r="AC48" s="51"/>
      <c r="AD48" s="51"/>
      <c r="AK48" s="51"/>
      <c r="AL48" s="51"/>
      <c r="AM48" s="51"/>
      <c r="AN48" s="51"/>
      <c r="AO48" s="51"/>
      <c r="AQ48" s="51"/>
      <c r="AR48" s="51"/>
    </row>
    <row r="49" spans="6:44">
      <c r="F49" s="133"/>
      <c r="H49" s="51"/>
      <c r="N49" s="86"/>
      <c r="Q49" s="51"/>
      <c r="R49" s="92"/>
      <c r="S49" s="92"/>
      <c r="T49" s="92"/>
      <c r="X49" s="86"/>
      <c r="Y49" s="86"/>
      <c r="Z49" s="86"/>
      <c r="AB49" s="51"/>
      <c r="AC49" s="51"/>
      <c r="AD49" s="51"/>
      <c r="AK49" s="51"/>
      <c r="AL49" s="51"/>
      <c r="AM49" s="51"/>
      <c r="AN49" s="51"/>
      <c r="AO49" s="51"/>
      <c r="AQ49" s="51"/>
      <c r="AR49" s="51"/>
    </row>
    <row r="50" spans="6:44">
      <c r="F50" s="133"/>
      <c r="H50" s="51"/>
      <c r="N50" s="86"/>
      <c r="Q50" s="51"/>
      <c r="R50" s="92"/>
      <c r="S50" s="92"/>
      <c r="T50" s="92"/>
      <c r="X50" s="86"/>
      <c r="Y50" s="86"/>
      <c r="Z50" s="86"/>
      <c r="AB50" s="51"/>
      <c r="AC50" s="51"/>
      <c r="AD50" s="51"/>
      <c r="AK50" s="51"/>
      <c r="AL50" s="51"/>
      <c r="AM50" s="51"/>
      <c r="AN50" s="51"/>
      <c r="AO50" s="51"/>
      <c r="AQ50" s="51"/>
      <c r="AR50" s="51"/>
    </row>
    <row r="51" spans="6:44">
      <c r="F51" s="133"/>
      <c r="H51" s="51"/>
      <c r="N51" s="86"/>
      <c r="Q51" s="51"/>
      <c r="R51" s="92"/>
      <c r="S51" s="92"/>
      <c r="T51" s="92"/>
      <c r="X51" s="86"/>
      <c r="Y51" s="86"/>
      <c r="Z51" s="86"/>
      <c r="AB51" s="51"/>
      <c r="AC51" s="51"/>
      <c r="AD51" s="51"/>
      <c r="AK51" s="51"/>
      <c r="AL51" s="51"/>
      <c r="AM51" s="51"/>
      <c r="AN51" s="51"/>
      <c r="AO51" s="51"/>
      <c r="AQ51" s="51"/>
      <c r="AR51" s="51"/>
    </row>
    <row r="52" spans="6:44">
      <c r="F52" s="133"/>
      <c r="H52" s="51"/>
      <c r="N52" s="86"/>
      <c r="Q52" s="51"/>
      <c r="R52" s="92"/>
      <c r="S52" s="92"/>
      <c r="T52" s="92"/>
      <c r="X52" s="86"/>
      <c r="Y52" s="86"/>
      <c r="Z52" s="86"/>
      <c r="AB52" s="51"/>
      <c r="AC52" s="51"/>
      <c r="AD52" s="51"/>
      <c r="AK52" s="51"/>
      <c r="AL52" s="51"/>
      <c r="AM52" s="51"/>
      <c r="AN52" s="51"/>
      <c r="AO52" s="51"/>
      <c r="AQ52" s="51"/>
      <c r="AR52" s="51"/>
    </row>
    <row r="53" spans="6:44">
      <c r="F53" s="133"/>
      <c r="H53" s="51"/>
      <c r="N53" s="86"/>
      <c r="Q53" s="51"/>
      <c r="R53" s="92"/>
      <c r="S53" s="92"/>
      <c r="T53" s="92"/>
      <c r="X53" s="86"/>
      <c r="Y53" s="86"/>
      <c r="Z53" s="86"/>
      <c r="AB53" s="51"/>
      <c r="AC53" s="51"/>
      <c r="AD53" s="51"/>
      <c r="AK53" s="51"/>
      <c r="AL53" s="51"/>
      <c r="AM53" s="51"/>
      <c r="AN53" s="51"/>
      <c r="AO53" s="51"/>
      <c r="AQ53" s="51"/>
      <c r="AR53" s="51"/>
    </row>
    <row r="54" spans="6:44">
      <c r="F54" s="133"/>
      <c r="H54" s="51"/>
      <c r="N54" s="86"/>
      <c r="Q54" s="51"/>
      <c r="R54" s="92"/>
      <c r="S54" s="92"/>
      <c r="T54" s="92"/>
      <c r="X54" s="86"/>
      <c r="Y54" s="86"/>
      <c r="Z54" s="86"/>
      <c r="AB54" s="51"/>
      <c r="AC54" s="51"/>
      <c r="AD54" s="51"/>
      <c r="AK54" s="51"/>
      <c r="AL54" s="51"/>
      <c r="AM54" s="51"/>
      <c r="AN54" s="51"/>
      <c r="AO54" s="51"/>
      <c r="AQ54" s="51"/>
      <c r="AR54" s="51"/>
    </row>
    <row r="55" spans="6:44">
      <c r="F55" s="133"/>
      <c r="H55" s="51"/>
      <c r="N55" s="86"/>
      <c r="Q55" s="51"/>
      <c r="R55" s="92"/>
      <c r="S55" s="92"/>
      <c r="T55" s="92"/>
      <c r="X55" s="86"/>
      <c r="Y55" s="86"/>
      <c r="Z55" s="86"/>
      <c r="AB55" s="51"/>
      <c r="AC55" s="51"/>
      <c r="AD55" s="51"/>
      <c r="AK55" s="51"/>
      <c r="AL55" s="51"/>
      <c r="AM55" s="51"/>
      <c r="AN55" s="51"/>
      <c r="AO55" s="51"/>
      <c r="AQ55" s="51"/>
      <c r="AR55" s="51"/>
    </row>
    <row r="56" spans="6:44">
      <c r="F56" s="133"/>
      <c r="H56" s="51"/>
      <c r="N56" s="86"/>
      <c r="Q56" s="51"/>
      <c r="R56" s="92"/>
      <c r="S56" s="92"/>
      <c r="T56" s="92"/>
      <c r="X56" s="86"/>
      <c r="Y56" s="86"/>
      <c r="Z56" s="86"/>
      <c r="AB56" s="51"/>
      <c r="AC56" s="51"/>
      <c r="AD56" s="51"/>
      <c r="AK56" s="51"/>
      <c r="AL56" s="51"/>
      <c r="AM56" s="51"/>
      <c r="AN56" s="51"/>
      <c r="AO56" s="51"/>
      <c r="AQ56" s="51"/>
      <c r="AR56" s="51"/>
    </row>
    <row r="57" spans="6:44">
      <c r="F57" s="133"/>
      <c r="H57" s="51"/>
      <c r="N57" s="86"/>
      <c r="Q57" s="51"/>
      <c r="R57" s="92"/>
      <c r="S57" s="92"/>
      <c r="T57" s="92"/>
      <c r="X57" s="86"/>
      <c r="Y57" s="86"/>
      <c r="Z57" s="86"/>
      <c r="AB57" s="51"/>
      <c r="AC57" s="51"/>
      <c r="AD57" s="51"/>
      <c r="AK57" s="51"/>
      <c r="AL57" s="51"/>
      <c r="AM57" s="51"/>
      <c r="AN57" s="51"/>
      <c r="AO57" s="51"/>
      <c r="AQ57" s="51"/>
      <c r="AR57" s="51"/>
    </row>
    <row r="58" spans="6:44">
      <c r="F58" s="133"/>
      <c r="H58" s="51"/>
      <c r="N58" s="86"/>
      <c r="Q58" s="51"/>
      <c r="R58" s="92"/>
      <c r="S58" s="92"/>
      <c r="T58" s="92"/>
      <c r="X58" s="86"/>
      <c r="Y58" s="86"/>
      <c r="Z58" s="86"/>
      <c r="AB58" s="51"/>
      <c r="AC58" s="51"/>
      <c r="AD58" s="51"/>
      <c r="AK58" s="51"/>
      <c r="AL58" s="51"/>
      <c r="AM58" s="51"/>
      <c r="AN58" s="51"/>
      <c r="AO58" s="51"/>
      <c r="AQ58" s="51"/>
      <c r="AR58" s="51"/>
    </row>
  </sheetData>
  <sheetProtection selectLockedCells="1"/>
  <mergeCells count="35">
    <mergeCell ref="B12:F12"/>
    <mergeCell ref="G12:J12"/>
    <mergeCell ref="K12:R12"/>
    <mergeCell ref="T12:AC12"/>
    <mergeCell ref="AY11:BD11"/>
    <mergeCell ref="BD12:BD13"/>
    <mergeCell ref="AY12:AY13"/>
    <mergeCell ref="AZ12:AZ13"/>
    <mergeCell ref="BA12:BA13"/>
    <mergeCell ref="BB12:BB13"/>
    <mergeCell ref="BC12:BC13"/>
    <mergeCell ref="AJ12:AJ13"/>
    <mergeCell ref="AE12:AE13"/>
    <mergeCell ref="AF12:AF13"/>
    <mergeCell ref="AG12:AG13"/>
    <mergeCell ref="AH12:AH13"/>
    <mergeCell ref="AI12:AI13"/>
    <mergeCell ref="AU12:AU13"/>
    <mergeCell ref="AV12:AV13"/>
    <mergeCell ref="AW12:AW13"/>
    <mergeCell ref="AL12:AL13"/>
    <mergeCell ref="AM12:AM13"/>
    <mergeCell ref="AN12:AN13"/>
    <mergeCell ref="AO12:AO13"/>
    <mergeCell ref="AP12:AP13"/>
    <mergeCell ref="AQ12:AQ13"/>
    <mergeCell ref="AS12:AS13"/>
    <mergeCell ref="AT12:AT13"/>
    <mergeCell ref="B2:J2"/>
    <mergeCell ref="B3:J3"/>
    <mergeCell ref="B5:J5"/>
    <mergeCell ref="B9:C9"/>
    <mergeCell ref="AE11:AJ11"/>
    <mergeCell ref="E7:T7"/>
    <mergeCell ref="B7:D7"/>
  </mergeCells>
  <dataValidations count="5">
    <dataValidation type="list" allowBlank="1" showInputMessage="1" showErrorMessage="1" sqref="D9" xr:uid="{00000000-0002-0000-0E00-000000000000}">
      <formula1>LANDRATETYPE</formula1>
    </dataValidation>
    <dataValidation type="list" allowBlank="1" showInputMessage="1" showErrorMessage="1" sqref="N15:N22" xr:uid="{00000000-0002-0000-0E00-000003000000}">
      <formula1>Parksite</formula1>
    </dataValidation>
    <dataValidation type="list" allowBlank="1" showInputMessage="1" showErrorMessage="1" sqref="Q15:Q22" xr:uid="{00000000-0002-0000-0E00-000004000000}">
      <formula1>PArkprojcost</formula1>
    </dataValidation>
    <dataValidation type="list" allowBlank="1" showInputMessage="1" showErrorMessage="1" sqref="G15:G22" xr:uid="{00000000-0002-0000-0E00-000005000000}">
      <formula1>parkslandcode2</formula1>
    </dataValidation>
    <dataValidation type="list" allowBlank="1" showInputMessage="1" showErrorMessage="1" sqref="AE15:AJ22" xr:uid="{00000000-0002-0000-0E00-000001000000}">
      <formula1>Futurepick</formula1>
    </dataValidation>
  </dataValidations>
  <hyperlinks>
    <hyperlink ref="A4" location="'Future Trunk Assets'!A1" display="Return to &quot;Future Trunk Assets&quot;" xr:uid="{00000000-0004-0000-0E00-000000000000}"/>
  </hyperlinks>
  <pageMargins left="0.25" right="0.25" top="0.75" bottom="0.75" header="0.3" footer="0.3"/>
  <pageSetup paperSize="8" scale="22" orientation="landscape" r:id="rId1"/>
  <headerFooter>
    <oddFooter>&amp;C_x000D_&amp;1#&amp;"Arial"&amp;10&amp;KFF0000 SECURITY LABEL: OFFICIAL</oddFooter>
  </headerFooter>
  <customProperties>
    <customPr name="EpmWorksheetKeyString_GUID" r:id="rId2"/>
  </customProperties>
  <ignoredErrors>
    <ignoredError sqref="AE15:AI20 T19 T15:T16 H15:H20 J15:J18 H21:J21 O15:P21 K19:M19 J20 U15:V20 T21:V21 W15:W22 Y15:Y21 AA15:AA21 K15:M18 K21:M21 K20:M20" unlockedFormula="1"/>
    <ignoredError sqref="G18 G15 G16 G17 G20 G19" unlockedFormula="1" listDataValidation="1"/>
    <ignoredError sqref="I18 I15 I16 I17 I20 I19" unlockedFormula="1" calculatedColumn="1"/>
    <ignoredError sqref="G21" listDataValidation="1"/>
  </ignoredError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8" tint="0.39997558519241921"/>
    <pageSetUpPr fitToPage="1"/>
  </sheetPr>
  <dimension ref="A2:MT47"/>
  <sheetViews>
    <sheetView zoomScale="70" zoomScaleNormal="70" workbookViewId="0">
      <selection activeCell="A2" sqref="A2:XFD3"/>
    </sheetView>
  </sheetViews>
  <sheetFormatPr defaultColWidth="9" defaultRowHeight="13.5"/>
  <cols>
    <col min="1" max="1" width="9" style="74"/>
    <col min="2" max="2" width="15.33203125" style="74" customWidth="1"/>
    <col min="3" max="3" width="20.33203125" style="74" customWidth="1"/>
    <col min="4" max="4" width="11.33203125" style="74" customWidth="1"/>
    <col min="5" max="5" width="12.33203125" style="74" customWidth="1"/>
    <col min="6" max="6" width="12.58203125" style="74" customWidth="1"/>
    <col min="7" max="7" width="13.33203125" style="74" customWidth="1"/>
    <col min="8" max="8" width="11.83203125" style="74" customWidth="1"/>
    <col min="9" max="9" width="11.58203125" style="74" customWidth="1"/>
    <col min="10" max="10" width="21.83203125" style="74" customWidth="1"/>
    <col min="11" max="11" width="9" style="74"/>
    <col min="12" max="12" width="20.25" style="74" customWidth="1"/>
    <col min="13" max="13" width="18.08203125" style="74" customWidth="1"/>
    <col min="14" max="25" width="9" style="74"/>
    <col min="26" max="26" width="14.33203125" style="74" customWidth="1"/>
    <col min="27" max="16384" width="9" style="74"/>
  </cols>
  <sheetData>
    <row r="2" spans="1:358" s="386" customFormat="1" ht="20" thickBot="1">
      <c r="B2" s="500" t="str">
        <f>'Navigation Pane'!B2</f>
        <v>Brisbane City Council</v>
      </c>
      <c r="C2" s="500"/>
      <c r="D2" s="500"/>
      <c r="E2" s="500"/>
      <c r="F2" s="500"/>
      <c r="G2" s="500"/>
      <c r="H2" s="500"/>
      <c r="I2" s="500"/>
      <c r="J2" s="500"/>
      <c r="K2" s="500"/>
      <c r="L2" s="500"/>
    </row>
    <row r="3" spans="1:358" s="386" customFormat="1" ht="20.5" thickTop="1" thickBot="1">
      <c r="B3" s="500" t="s">
        <v>138</v>
      </c>
      <c r="C3" s="500"/>
      <c r="D3" s="500"/>
      <c r="E3" s="500"/>
      <c r="F3" s="500"/>
      <c r="G3" s="500"/>
      <c r="H3" s="500"/>
      <c r="I3" s="500"/>
      <c r="J3" s="500"/>
      <c r="K3" s="500"/>
      <c r="L3" s="500"/>
    </row>
    <row r="4" spans="1:358" ht="14" thickTop="1">
      <c r="A4" s="75" t="s">
        <v>93</v>
      </c>
    </row>
    <row r="5" spans="1:358" ht="22.5">
      <c r="B5" s="501" t="s">
        <v>973</v>
      </c>
      <c r="C5" s="501"/>
      <c r="D5" s="501"/>
      <c r="E5" s="501"/>
      <c r="F5" s="501"/>
      <c r="G5" s="501"/>
      <c r="H5" s="501"/>
      <c r="I5" s="501"/>
      <c r="J5" s="501"/>
      <c r="K5" s="501"/>
      <c r="L5" s="501"/>
    </row>
    <row r="6" spans="1:358" ht="14" thickBot="1"/>
    <row r="7" spans="1:358" s="13" customFormat="1" ht="48" customHeight="1" thickBot="1">
      <c r="A7" s="74"/>
      <c r="B7" s="14" t="s">
        <v>42</v>
      </c>
      <c r="C7" s="15" t="s">
        <v>82</v>
      </c>
      <c r="D7" s="16">
        <v>2016</v>
      </c>
      <c r="E7" s="17">
        <f>D7+5</f>
        <v>2021</v>
      </c>
      <c r="F7" s="17">
        <f t="shared" ref="F7:H7" si="0">E7+5</f>
        <v>2026</v>
      </c>
      <c r="G7" s="17">
        <f t="shared" si="0"/>
        <v>2031</v>
      </c>
      <c r="H7" s="18">
        <f t="shared" si="0"/>
        <v>2036</v>
      </c>
      <c r="I7" s="79"/>
      <c r="J7" s="11" t="str">
        <f>"NPV Future Demand ("&amp;(D7+1)&amp; " - " &amp;H7+10&amp;")"</f>
        <v>NPV Future Demand (2017 - 2046)</v>
      </c>
      <c r="K7" s="74"/>
      <c r="L7" s="15" t="str">
        <f xml:space="preserve"> "Ultimate Demand"</f>
        <v>Ultimate Demand</v>
      </c>
      <c r="M7" s="280" t="s">
        <v>983</v>
      </c>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c r="JV7" s="74"/>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row>
    <row r="8" spans="1:358" s="13" customFormat="1">
      <c r="A8" s="74"/>
      <c r="B8" s="194">
        <v>1</v>
      </c>
      <c r="C8" s="195" t="s">
        <v>139</v>
      </c>
      <c r="D8" s="196">
        <v>18971</v>
      </c>
      <c r="E8" s="197">
        <v>19762</v>
      </c>
      <c r="F8" s="197">
        <v>20305</v>
      </c>
      <c r="G8" s="198">
        <v>21481</v>
      </c>
      <c r="H8" s="199">
        <v>21425</v>
      </c>
      <c r="I8" s="80"/>
      <c r="J8" s="208">
        <f>NPV(5.91%,E43:N43)</f>
        <v>1012.1705305695717</v>
      </c>
      <c r="K8" s="76"/>
      <c r="L8" s="211">
        <v>22125</v>
      </c>
      <c r="M8" s="284">
        <f>(L8-F8)/F8</f>
        <v>8.9633095296724946E-2</v>
      </c>
      <c r="N8" s="74"/>
      <c r="O8" s="76"/>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4"/>
      <c r="LP8" s="74"/>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row>
    <row r="9" spans="1:358" s="13" customFormat="1">
      <c r="A9" s="74"/>
      <c r="B9" s="194">
        <v>2</v>
      </c>
      <c r="C9" s="195" t="s">
        <v>140</v>
      </c>
      <c r="D9" s="196">
        <v>261140</v>
      </c>
      <c r="E9" s="197">
        <v>269823</v>
      </c>
      <c r="F9" s="197">
        <v>282831</v>
      </c>
      <c r="G9" s="198">
        <v>291232</v>
      </c>
      <c r="H9" s="199">
        <v>306014</v>
      </c>
      <c r="I9" s="80"/>
      <c r="J9" s="208">
        <f t="shared" ref="J9:J12" si="1">NPV(5.91%,E44:N44)</f>
        <v>15577.281233227377</v>
      </c>
      <c r="K9" s="76"/>
      <c r="L9" s="211">
        <v>347425</v>
      </c>
      <c r="M9" s="284">
        <f t="shared" ref="M9:M12" si="2">(L9-F9)/F9</f>
        <v>0.22838373445626539</v>
      </c>
      <c r="N9" s="74"/>
      <c r="O9" s="76"/>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c r="JV9" s="74"/>
      <c r="JW9" s="74"/>
      <c r="JX9" s="74"/>
      <c r="JY9" s="74"/>
      <c r="JZ9" s="74"/>
      <c r="KA9" s="74"/>
      <c r="KB9" s="74"/>
      <c r="KC9" s="74"/>
      <c r="KD9" s="74"/>
      <c r="KE9" s="74"/>
      <c r="KF9" s="74"/>
      <c r="KG9" s="74"/>
      <c r="KH9" s="74"/>
      <c r="KI9" s="74"/>
      <c r="KJ9" s="74"/>
      <c r="KK9" s="74"/>
      <c r="KL9" s="74"/>
      <c r="KM9" s="74"/>
      <c r="KN9" s="74"/>
      <c r="KO9" s="74"/>
      <c r="KP9" s="74"/>
      <c r="KQ9" s="74"/>
      <c r="KR9" s="74"/>
      <c r="KS9" s="74"/>
      <c r="KT9" s="74"/>
      <c r="KU9" s="74"/>
      <c r="KV9" s="74"/>
      <c r="KW9" s="74"/>
      <c r="KX9" s="74"/>
      <c r="KY9" s="74"/>
      <c r="KZ9" s="74"/>
      <c r="LA9" s="74"/>
      <c r="LB9" s="74"/>
      <c r="LC9" s="74"/>
      <c r="LD9" s="74"/>
      <c r="LE9" s="74"/>
      <c r="LF9" s="74"/>
      <c r="LG9" s="74"/>
      <c r="LH9" s="74"/>
      <c r="LI9" s="74"/>
      <c r="LJ9" s="74"/>
      <c r="LK9" s="74"/>
      <c r="LL9" s="74"/>
      <c r="LM9" s="74"/>
      <c r="LN9" s="74"/>
      <c r="LO9" s="74"/>
      <c r="LP9" s="74"/>
      <c r="LQ9" s="74"/>
      <c r="LR9" s="74"/>
      <c r="LS9" s="74"/>
      <c r="LT9" s="74"/>
      <c r="LU9" s="74"/>
      <c r="LV9" s="74"/>
      <c r="LW9" s="74"/>
      <c r="LX9" s="74"/>
      <c r="LY9" s="74"/>
      <c r="LZ9" s="74"/>
      <c r="MA9" s="74"/>
      <c r="MB9" s="74"/>
      <c r="MC9" s="74"/>
      <c r="MD9" s="74"/>
      <c r="ME9" s="74"/>
      <c r="MF9" s="74"/>
      <c r="MG9" s="74"/>
      <c r="MH9" s="74"/>
      <c r="MI9" s="74"/>
      <c r="MJ9" s="74"/>
      <c r="MK9" s="74"/>
      <c r="ML9" s="74"/>
      <c r="MM9" s="74"/>
      <c r="MN9" s="74"/>
      <c r="MO9" s="74"/>
      <c r="MP9" s="74"/>
      <c r="MQ9" s="74"/>
      <c r="MR9" s="74"/>
      <c r="MS9" s="74"/>
      <c r="MT9" s="74"/>
    </row>
    <row r="10" spans="1:358" s="13" customFormat="1">
      <c r="A10" s="74"/>
      <c r="B10" s="194">
        <v>3</v>
      </c>
      <c r="C10" s="195" t="s">
        <v>141</v>
      </c>
      <c r="D10" s="196">
        <v>364760</v>
      </c>
      <c r="E10" s="197">
        <v>390211</v>
      </c>
      <c r="F10" s="197">
        <v>413567</v>
      </c>
      <c r="G10" s="198">
        <v>435381</v>
      </c>
      <c r="H10" s="199">
        <v>456561</v>
      </c>
      <c r="I10" s="80"/>
      <c r="J10" s="208">
        <f t="shared" si="1"/>
        <v>36296.82244691869</v>
      </c>
      <c r="K10" s="76"/>
      <c r="L10" s="211">
        <v>513297</v>
      </c>
      <c r="M10" s="284">
        <f t="shared" si="2"/>
        <v>0.24114593282346028</v>
      </c>
      <c r="N10" s="77"/>
      <c r="O10" s="76"/>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4"/>
      <c r="JW10" s="74"/>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row>
    <row r="11" spans="1:358" s="13" customFormat="1">
      <c r="A11" s="74"/>
      <c r="B11" s="194">
        <v>4</v>
      </c>
      <c r="C11" s="195" t="s">
        <v>142</v>
      </c>
      <c r="D11" s="196">
        <v>348928</v>
      </c>
      <c r="E11" s="197">
        <v>374505</v>
      </c>
      <c r="F11" s="197">
        <v>395232</v>
      </c>
      <c r="G11" s="198">
        <v>429036</v>
      </c>
      <c r="H11" s="199">
        <v>459171</v>
      </c>
      <c r="I11" s="80"/>
      <c r="J11" s="208">
        <f t="shared" si="1"/>
        <v>34737.03994962381</v>
      </c>
      <c r="K11" s="76"/>
      <c r="L11" s="211">
        <v>515102</v>
      </c>
      <c r="M11" s="284">
        <f t="shared" si="2"/>
        <v>0.30329021941543194</v>
      </c>
      <c r="N11" s="74"/>
      <c r="O11" s="76"/>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c r="JV11" s="74"/>
      <c r="JW11" s="74"/>
      <c r="JX11" s="74"/>
      <c r="JY11" s="74"/>
      <c r="JZ11" s="74"/>
      <c r="KA11" s="74"/>
      <c r="KB11" s="74"/>
      <c r="KC11" s="74"/>
      <c r="KD11" s="74"/>
      <c r="KE11" s="74"/>
      <c r="KF11" s="74"/>
      <c r="KG11" s="74"/>
      <c r="KH11" s="74"/>
      <c r="KI11" s="74"/>
      <c r="KJ11" s="74"/>
      <c r="KK11" s="74"/>
      <c r="KL11" s="74"/>
      <c r="KM11" s="74"/>
      <c r="KN11" s="74"/>
      <c r="KO11" s="74"/>
      <c r="KP11" s="74"/>
      <c r="KQ11" s="74"/>
      <c r="KR11" s="74"/>
      <c r="KS11" s="74"/>
      <c r="KT11" s="74"/>
      <c r="KU11" s="74"/>
      <c r="KV11" s="74"/>
      <c r="KW11" s="74"/>
      <c r="KX11" s="74"/>
      <c r="KY11" s="74"/>
      <c r="KZ11" s="74"/>
      <c r="LA11" s="74"/>
      <c r="LB11" s="74"/>
      <c r="LC11" s="74"/>
      <c r="LD11" s="74"/>
      <c r="LE11" s="74"/>
      <c r="LF11" s="74"/>
      <c r="LG11" s="74"/>
      <c r="LH11" s="74"/>
      <c r="LI11" s="74"/>
      <c r="LJ11" s="74"/>
      <c r="LK11" s="74"/>
      <c r="LL11" s="74"/>
      <c r="LM11" s="74"/>
      <c r="LN11" s="74"/>
      <c r="LO11" s="74"/>
      <c r="LP11" s="74"/>
      <c r="LQ11" s="74"/>
      <c r="LR11" s="74"/>
      <c r="LS11" s="74"/>
      <c r="LT11" s="74"/>
      <c r="LU11" s="74"/>
      <c r="LV11" s="74"/>
      <c r="LW11" s="74"/>
      <c r="LX11" s="74"/>
      <c r="LY11" s="74"/>
      <c r="LZ11" s="74"/>
      <c r="MA11" s="74"/>
      <c r="MB11" s="74"/>
      <c r="MC11" s="74"/>
      <c r="MD11" s="74"/>
      <c r="ME11" s="74"/>
      <c r="MF11" s="74"/>
      <c r="MG11" s="74"/>
      <c r="MH11" s="74"/>
      <c r="MI11" s="74"/>
      <c r="MJ11" s="74"/>
      <c r="MK11" s="74"/>
      <c r="ML11" s="74"/>
      <c r="MM11" s="74"/>
      <c r="MN11" s="74"/>
      <c r="MO11" s="74"/>
      <c r="MP11" s="74"/>
      <c r="MQ11" s="74"/>
      <c r="MR11" s="74"/>
      <c r="MS11" s="74"/>
      <c r="MT11" s="74"/>
    </row>
    <row r="12" spans="1:358" s="13" customFormat="1">
      <c r="A12" s="74"/>
      <c r="B12" s="194">
        <v>5</v>
      </c>
      <c r="C12" s="195" t="s">
        <v>143</v>
      </c>
      <c r="D12" s="196">
        <v>242606</v>
      </c>
      <c r="E12" s="197">
        <v>247828</v>
      </c>
      <c r="F12" s="197">
        <v>250728</v>
      </c>
      <c r="G12" s="198">
        <v>255513</v>
      </c>
      <c r="H12" s="199">
        <v>261614</v>
      </c>
      <c r="I12" s="80"/>
      <c r="J12" s="208">
        <f t="shared" si="1"/>
        <v>6248.1325137318499</v>
      </c>
      <c r="K12" s="76"/>
      <c r="L12" s="211">
        <v>284638</v>
      </c>
      <c r="M12" s="284">
        <f t="shared" si="2"/>
        <v>0.13524616317284069</v>
      </c>
      <c r="N12" s="74"/>
      <c r="O12" s="76"/>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4"/>
      <c r="JW12" s="74"/>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4"/>
      <c r="LP12" s="74"/>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row>
    <row r="13" spans="1:358" s="13" customFormat="1">
      <c r="A13" s="74"/>
      <c r="B13" s="194"/>
      <c r="C13" s="195"/>
      <c r="D13" s="196"/>
      <c r="E13" s="197"/>
      <c r="F13" s="197"/>
      <c r="G13" s="198"/>
      <c r="H13" s="199"/>
      <c r="I13" s="80"/>
      <c r="J13" s="208"/>
      <c r="K13" s="74"/>
      <c r="L13" s="211"/>
      <c r="M13" s="211"/>
      <c r="N13" s="74"/>
      <c r="O13" s="76"/>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c r="IW13" s="74"/>
      <c r="IX13" s="74"/>
      <c r="IY13" s="74"/>
      <c r="IZ13" s="74"/>
      <c r="JA13" s="74"/>
      <c r="JB13" s="74"/>
      <c r="JC13" s="74"/>
      <c r="JD13" s="74"/>
      <c r="JE13" s="74"/>
      <c r="JF13" s="74"/>
      <c r="JG13" s="74"/>
      <c r="JH13" s="74"/>
      <c r="JI13" s="74"/>
      <c r="JJ13" s="74"/>
      <c r="JK13" s="74"/>
      <c r="JL13" s="74"/>
      <c r="JM13" s="74"/>
      <c r="JN13" s="74"/>
      <c r="JO13" s="74"/>
      <c r="JP13" s="74"/>
      <c r="JQ13" s="74"/>
      <c r="JR13" s="74"/>
      <c r="JS13" s="74"/>
      <c r="JT13" s="74"/>
      <c r="JU13" s="74"/>
      <c r="JV13" s="74"/>
      <c r="JW13" s="74"/>
      <c r="JX13" s="74"/>
      <c r="JY13" s="74"/>
      <c r="JZ13" s="74"/>
      <c r="KA13" s="74"/>
      <c r="KB13" s="74"/>
      <c r="KC13" s="74"/>
      <c r="KD13" s="74"/>
      <c r="KE13" s="74"/>
      <c r="KF13" s="74"/>
      <c r="KG13" s="74"/>
      <c r="KH13" s="74"/>
      <c r="KI13" s="74"/>
      <c r="KJ13" s="74"/>
      <c r="KK13" s="74"/>
      <c r="KL13" s="74"/>
      <c r="KM13" s="74"/>
      <c r="KN13" s="74"/>
      <c r="KO13" s="74"/>
      <c r="KP13" s="74"/>
      <c r="KQ13" s="74"/>
      <c r="KR13" s="74"/>
      <c r="KS13" s="74"/>
      <c r="KT13" s="74"/>
      <c r="KU13" s="74"/>
      <c r="KV13" s="74"/>
      <c r="KW13" s="74"/>
      <c r="KX13" s="74"/>
      <c r="KY13" s="74"/>
      <c r="KZ13" s="74"/>
      <c r="LA13" s="74"/>
      <c r="LB13" s="74"/>
      <c r="LC13" s="74"/>
      <c r="LD13" s="74"/>
      <c r="LE13" s="74"/>
      <c r="LF13" s="74"/>
      <c r="LG13" s="74"/>
      <c r="LH13" s="74"/>
      <c r="LI13" s="74"/>
      <c r="LJ13" s="74"/>
      <c r="LK13" s="74"/>
      <c r="LL13" s="74"/>
      <c r="LM13" s="74"/>
      <c r="LN13" s="74"/>
      <c r="LO13" s="74"/>
      <c r="LP13" s="74"/>
      <c r="LQ13" s="74"/>
      <c r="LR13" s="74"/>
      <c r="LS13" s="74"/>
      <c r="LT13" s="74"/>
      <c r="LU13" s="74"/>
      <c r="LV13" s="74"/>
      <c r="LW13" s="74"/>
      <c r="LX13" s="74"/>
      <c r="LY13" s="74"/>
      <c r="LZ13" s="74"/>
      <c r="MA13" s="74"/>
      <c r="MB13" s="74"/>
      <c r="MC13" s="74"/>
      <c r="MD13" s="74"/>
      <c r="ME13" s="74"/>
      <c r="MF13" s="74"/>
      <c r="MG13" s="74"/>
      <c r="MH13" s="74"/>
      <c r="MI13" s="74"/>
      <c r="MJ13" s="74"/>
      <c r="MK13" s="74"/>
      <c r="ML13" s="74"/>
      <c r="MM13" s="74"/>
      <c r="MN13" s="74"/>
      <c r="MO13" s="74"/>
      <c r="MP13" s="74"/>
      <c r="MQ13" s="74"/>
      <c r="MR13" s="74"/>
      <c r="MS13" s="74"/>
      <c r="MT13" s="74"/>
    </row>
    <row r="14" spans="1:358" s="13" customFormat="1">
      <c r="A14" s="74"/>
      <c r="B14" s="194"/>
      <c r="C14" s="195"/>
      <c r="D14" s="196"/>
      <c r="E14" s="197"/>
      <c r="F14" s="197"/>
      <c r="G14" s="198"/>
      <c r="H14" s="199"/>
      <c r="I14" s="80"/>
      <c r="J14" s="208"/>
      <c r="K14" s="74"/>
      <c r="L14" s="211"/>
      <c r="M14" s="211"/>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c r="IW14" s="74"/>
      <c r="IX14" s="74"/>
      <c r="IY14" s="74"/>
      <c r="IZ14" s="74"/>
      <c r="JA14" s="74"/>
      <c r="JB14" s="74"/>
      <c r="JC14" s="74"/>
      <c r="JD14" s="74"/>
      <c r="JE14" s="74"/>
      <c r="JF14" s="74"/>
      <c r="JG14" s="74"/>
      <c r="JH14" s="74"/>
      <c r="JI14" s="74"/>
      <c r="JJ14" s="74"/>
      <c r="JK14" s="74"/>
      <c r="JL14" s="74"/>
      <c r="JM14" s="74"/>
      <c r="JN14" s="74"/>
      <c r="JO14" s="74"/>
      <c r="JP14" s="74"/>
      <c r="JQ14" s="74"/>
      <c r="JR14" s="74"/>
      <c r="JS14" s="74"/>
      <c r="JT14" s="74"/>
      <c r="JU14" s="74"/>
      <c r="JV14" s="74"/>
      <c r="JW14" s="74"/>
      <c r="JX14" s="74"/>
      <c r="JY14" s="74"/>
      <c r="JZ14" s="74"/>
      <c r="KA14" s="74"/>
      <c r="KB14" s="74"/>
      <c r="KC14" s="74"/>
      <c r="KD14" s="74"/>
      <c r="KE14" s="74"/>
      <c r="KF14" s="74"/>
      <c r="KG14" s="74"/>
      <c r="KH14" s="74"/>
      <c r="KI14" s="74"/>
      <c r="KJ14" s="74"/>
      <c r="KK14" s="74"/>
      <c r="KL14" s="74"/>
      <c r="KM14" s="74"/>
      <c r="KN14" s="74"/>
      <c r="KO14" s="74"/>
      <c r="KP14" s="74"/>
      <c r="KQ14" s="74"/>
      <c r="KR14" s="74"/>
      <c r="KS14" s="74"/>
      <c r="KT14" s="74"/>
      <c r="KU14" s="74"/>
      <c r="KV14" s="74"/>
      <c r="KW14" s="74"/>
      <c r="KX14" s="74"/>
      <c r="KY14" s="74"/>
      <c r="KZ14" s="74"/>
      <c r="LA14" s="74"/>
      <c r="LB14" s="74"/>
      <c r="LC14" s="74"/>
      <c r="LD14" s="74"/>
      <c r="LE14" s="74"/>
      <c r="LF14" s="74"/>
      <c r="LG14" s="74"/>
      <c r="LH14" s="74"/>
      <c r="LI14" s="74"/>
      <c r="LJ14" s="74"/>
      <c r="LK14" s="74"/>
      <c r="LL14" s="74"/>
      <c r="LM14" s="74"/>
      <c r="LN14" s="74"/>
      <c r="LO14" s="74"/>
      <c r="LP14" s="74"/>
      <c r="LQ14" s="74"/>
      <c r="LR14" s="74"/>
      <c r="LS14" s="74"/>
      <c r="LT14" s="74"/>
      <c r="LU14" s="74"/>
      <c r="LV14" s="74"/>
      <c r="LW14" s="74"/>
      <c r="LX14" s="74"/>
      <c r="LY14" s="74"/>
      <c r="LZ14" s="74"/>
      <c r="MA14" s="74"/>
      <c r="MB14" s="74"/>
      <c r="MC14" s="74"/>
      <c r="MD14" s="74"/>
      <c r="ME14" s="74"/>
      <c r="MF14" s="74"/>
      <c r="MG14" s="74"/>
      <c r="MH14" s="74"/>
      <c r="MI14" s="74"/>
      <c r="MJ14" s="74"/>
      <c r="MK14" s="74"/>
      <c r="ML14" s="74"/>
      <c r="MM14" s="74"/>
      <c r="MN14" s="74"/>
      <c r="MO14" s="74"/>
      <c r="MP14" s="74"/>
      <c r="MQ14" s="74"/>
      <c r="MR14" s="74"/>
      <c r="MS14" s="74"/>
      <c r="MT14" s="74"/>
    </row>
    <row r="15" spans="1:358" s="13" customFormat="1" hidden="1">
      <c r="A15" s="74"/>
      <c r="B15" s="194"/>
      <c r="C15" s="200"/>
      <c r="D15" s="196"/>
      <c r="E15" s="197"/>
      <c r="F15" s="197"/>
      <c r="G15" s="198"/>
      <c r="H15" s="199"/>
      <c r="I15" s="80"/>
      <c r="J15" s="208"/>
      <c r="K15" s="74"/>
      <c r="L15" s="211"/>
      <c r="M15" s="211"/>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c r="IW15" s="74"/>
      <c r="IX15" s="74"/>
      <c r="IY15" s="74"/>
      <c r="IZ15" s="74"/>
      <c r="JA15" s="74"/>
      <c r="JB15" s="74"/>
      <c r="JC15" s="74"/>
      <c r="JD15" s="74"/>
      <c r="JE15" s="74"/>
      <c r="JF15" s="74"/>
      <c r="JG15" s="74"/>
      <c r="JH15" s="74"/>
      <c r="JI15" s="74"/>
      <c r="JJ15" s="74"/>
      <c r="JK15" s="74"/>
      <c r="JL15" s="74"/>
      <c r="JM15" s="74"/>
      <c r="JN15" s="74"/>
      <c r="JO15" s="74"/>
      <c r="JP15" s="74"/>
      <c r="JQ15" s="74"/>
      <c r="JR15" s="74"/>
      <c r="JS15" s="74"/>
      <c r="JT15" s="74"/>
      <c r="JU15" s="74"/>
      <c r="JV15" s="74"/>
      <c r="JW15" s="74"/>
      <c r="JX15" s="74"/>
      <c r="JY15" s="74"/>
      <c r="JZ15" s="74"/>
      <c r="KA15" s="74"/>
      <c r="KB15" s="74"/>
      <c r="KC15" s="74"/>
      <c r="KD15" s="74"/>
      <c r="KE15" s="74"/>
      <c r="KF15" s="74"/>
      <c r="KG15" s="74"/>
      <c r="KH15" s="74"/>
      <c r="KI15" s="74"/>
      <c r="KJ15" s="74"/>
      <c r="KK15" s="74"/>
      <c r="KL15" s="74"/>
      <c r="KM15" s="74"/>
      <c r="KN15" s="74"/>
      <c r="KO15" s="74"/>
      <c r="KP15" s="74"/>
      <c r="KQ15" s="74"/>
      <c r="KR15" s="74"/>
      <c r="KS15" s="74"/>
      <c r="KT15" s="74"/>
      <c r="KU15" s="74"/>
      <c r="KV15" s="74"/>
      <c r="KW15" s="74"/>
      <c r="KX15" s="74"/>
      <c r="KY15" s="74"/>
      <c r="KZ15" s="74"/>
      <c r="LA15" s="74"/>
      <c r="LB15" s="74"/>
      <c r="LC15" s="74"/>
      <c r="LD15" s="74"/>
      <c r="LE15" s="74"/>
      <c r="LF15" s="74"/>
      <c r="LG15" s="74"/>
      <c r="LH15" s="74"/>
      <c r="LI15" s="74"/>
      <c r="LJ15" s="74"/>
      <c r="LK15" s="74"/>
      <c r="LL15" s="74"/>
      <c r="LM15" s="74"/>
      <c r="LN15" s="74"/>
      <c r="LO15" s="74"/>
      <c r="LP15" s="74"/>
      <c r="LQ15" s="74"/>
      <c r="LR15" s="74"/>
      <c r="LS15" s="74"/>
      <c r="LT15" s="74"/>
      <c r="LU15" s="74"/>
      <c r="LV15" s="74"/>
      <c r="LW15" s="74"/>
      <c r="LX15" s="74"/>
      <c r="LY15" s="74"/>
      <c r="LZ15" s="74"/>
      <c r="MA15" s="74"/>
      <c r="MB15" s="74"/>
      <c r="MC15" s="74"/>
      <c r="MD15" s="74"/>
      <c r="ME15" s="74"/>
      <c r="MF15" s="74"/>
      <c r="MG15" s="74"/>
      <c r="MH15" s="74"/>
      <c r="MI15" s="74"/>
      <c r="MJ15" s="74"/>
      <c r="MK15" s="74"/>
      <c r="ML15" s="74"/>
      <c r="MM15" s="74"/>
      <c r="MN15" s="74"/>
      <c r="MO15" s="74"/>
      <c r="MP15" s="74"/>
      <c r="MQ15" s="74"/>
      <c r="MR15" s="74"/>
      <c r="MS15" s="74"/>
      <c r="MT15" s="74"/>
    </row>
    <row r="16" spans="1:358" s="13" customFormat="1" hidden="1">
      <c r="A16" s="74"/>
      <c r="B16" s="194"/>
      <c r="C16" s="200"/>
      <c r="D16" s="196"/>
      <c r="E16" s="197"/>
      <c r="F16" s="197"/>
      <c r="G16" s="198"/>
      <c r="H16" s="199"/>
      <c r="I16" s="80"/>
      <c r="J16" s="208"/>
      <c r="K16" s="74"/>
      <c r="L16" s="211"/>
      <c r="M16" s="211"/>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c r="IW16" s="74"/>
      <c r="IX16" s="74"/>
      <c r="IY16" s="74"/>
      <c r="IZ16" s="74"/>
      <c r="JA16" s="74"/>
      <c r="JB16" s="74"/>
      <c r="JC16" s="74"/>
      <c r="JD16" s="74"/>
      <c r="JE16" s="74"/>
      <c r="JF16" s="74"/>
      <c r="JG16" s="74"/>
      <c r="JH16" s="74"/>
      <c r="JI16" s="74"/>
      <c r="JJ16" s="74"/>
      <c r="JK16" s="74"/>
      <c r="JL16" s="74"/>
      <c r="JM16" s="74"/>
      <c r="JN16" s="74"/>
      <c r="JO16" s="74"/>
      <c r="JP16" s="74"/>
      <c r="JQ16" s="74"/>
      <c r="JR16" s="74"/>
      <c r="JS16" s="74"/>
      <c r="JT16" s="74"/>
      <c r="JU16" s="74"/>
      <c r="JV16" s="74"/>
      <c r="JW16" s="74"/>
      <c r="JX16" s="74"/>
      <c r="JY16" s="74"/>
      <c r="JZ16" s="74"/>
      <c r="KA16" s="74"/>
      <c r="KB16" s="74"/>
      <c r="KC16" s="74"/>
      <c r="KD16" s="74"/>
      <c r="KE16" s="74"/>
      <c r="KF16" s="74"/>
      <c r="KG16" s="74"/>
      <c r="KH16" s="74"/>
      <c r="KI16" s="74"/>
      <c r="KJ16" s="74"/>
      <c r="KK16" s="74"/>
      <c r="KL16" s="74"/>
      <c r="KM16" s="74"/>
      <c r="KN16" s="74"/>
      <c r="KO16" s="74"/>
      <c r="KP16" s="74"/>
      <c r="KQ16" s="74"/>
      <c r="KR16" s="74"/>
      <c r="KS16" s="74"/>
      <c r="KT16" s="74"/>
      <c r="KU16" s="74"/>
      <c r="KV16" s="74"/>
      <c r="KW16" s="74"/>
      <c r="KX16" s="74"/>
      <c r="KY16" s="74"/>
      <c r="KZ16" s="74"/>
      <c r="LA16" s="74"/>
      <c r="LB16" s="74"/>
      <c r="LC16" s="74"/>
      <c r="LD16" s="74"/>
      <c r="LE16" s="74"/>
      <c r="LF16" s="74"/>
      <c r="LG16" s="74"/>
      <c r="LH16" s="74"/>
      <c r="LI16" s="74"/>
      <c r="LJ16" s="74"/>
      <c r="LK16" s="74"/>
      <c r="LL16" s="74"/>
      <c r="LM16" s="74"/>
      <c r="LN16" s="74"/>
      <c r="LO16" s="74"/>
      <c r="LP16" s="74"/>
      <c r="LQ16" s="74"/>
      <c r="LR16" s="74"/>
      <c r="LS16" s="74"/>
      <c r="LT16" s="74"/>
      <c r="LU16" s="74"/>
      <c r="LV16" s="74"/>
      <c r="LW16" s="74"/>
      <c r="LX16" s="74"/>
      <c r="LY16" s="74"/>
      <c r="LZ16" s="74"/>
      <c r="MA16" s="74"/>
      <c r="MB16" s="74"/>
      <c r="MC16" s="74"/>
      <c r="MD16" s="74"/>
      <c r="ME16" s="74"/>
      <c r="MF16" s="74"/>
      <c r="MG16" s="74"/>
      <c r="MH16" s="74"/>
      <c r="MI16" s="74"/>
      <c r="MJ16" s="74"/>
      <c r="MK16" s="74"/>
      <c r="ML16" s="74"/>
      <c r="MM16" s="74"/>
      <c r="MN16" s="74"/>
      <c r="MO16" s="74"/>
      <c r="MP16" s="74"/>
      <c r="MQ16" s="74"/>
      <c r="MR16" s="74"/>
      <c r="MS16" s="74"/>
      <c r="MT16" s="74"/>
    </row>
    <row r="17" spans="1:358" s="13" customFormat="1" hidden="1">
      <c r="A17" s="74"/>
      <c r="B17" s="194"/>
      <c r="C17" s="200"/>
      <c r="D17" s="196"/>
      <c r="E17" s="197"/>
      <c r="F17" s="197"/>
      <c r="G17" s="198"/>
      <c r="H17" s="199"/>
      <c r="I17" s="80"/>
      <c r="J17" s="208"/>
      <c r="K17" s="74"/>
      <c r="L17" s="211"/>
      <c r="M17" s="211"/>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c r="IW17" s="74"/>
      <c r="IX17" s="74"/>
      <c r="IY17" s="74"/>
      <c r="IZ17" s="74"/>
      <c r="JA17" s="74"/>
      <c r="JB17" s="74"/>
      <c r="JC17" s="74"/>
      <c r="JD17" s="74"/>
      <c r="JE17" s="74"/>
      <c r="JF17" s="74"/>
      <c r="JG17" s="74"/>
      <c r="JH17" s="74"/>
      <c r="JI17" s="74"/>
      <c r="JJ17" s="74"/>
      <c r="JK17" s="74"/>
      <c r="JL17" s="74"/>
      <c r="JM17" s="74"/>
      <c r="JN17" s="74"/>
      <c r="JO17" s="74"/>
      <c r="JP17" s="74"/>
      <c r="JQ17" s="74"/>
      <c r="JR17" s="74"/>
      <c r="JS17" s="74"/>
      <c r="JT17" s="74"/>
      <c r="JU17" s="74"/>
      <c r="JV17" s="74"/>
      <c r="JW17" s="74"/>
      <c r="JX17" s="74"/>
      <c r="JY17" s="74"/>
      <c r="JZ17" s="74"/>
      <c r="KA17" s="74"/>
      <c r="KB17" s="74"/>
      <c r="KC17" s="74"/>
      <c r="KD17" s="74"/>
      <c r="KE17" s="74"/>
      <c r="KF17" s="74"/>
      <c r="KG17" s="74"/>
      <c r="KH17" s="74"/>
      <c r="KI17" s="74"/>
      <c r="KJ17" s="74"/>
      <c r="KK17" s="74"/>
      <c r="KL17" s="74"/>
      <c r="KM17" s="74"/>
      <c r="KN17" s="74"/>
      <c r="KO17" s="74"/>
      <c r="KP17" s="74"/>
      <c r="KQ17" s="74"/>
      <c r="KR17" s="74"/>
      <c r="KS17" s="74"/>
      <c r="KT17" s="74"/>
      <c r="KU17" s="74"/>
      <c r="KV17" s="74"/>
      <c r="KW17" s="74"/>
      <c r="KX17" s="74"/>
      <c r="KY17" s="74"/>
      <c r="KZ17" s="74"/>
      <c r="LA17" s="74"/>
      <c r="LB17" s="74"/>
      <c r="LC17" s="74"/>
      <c r="LD17" s="74"/>
      <c r="LE17" s="74"/>
      <c r="LF17" s="74"/>
      <c r="LG17" s="74"/>
      <c r="LH17" s="74"/>
      <c r="LI17" s="74"/>
      <c r="LJ17" s="74"/>
      <c r="LK17" s="74"/>
      <c r="LL17" s="74"/>
      <c r="LM17" s="74"/>
      <c r="LN17" s="74"/>
      <c r="LO17" s="74"/>
      <c r="LP17" s="74"/>
      <c r="LQ17" s="74"/>
      <c r="LR17" s="74"/>
      <c r="LS17" s="74"/>
      <c r="LT17" s="74"/>
      <c r="LU17" s="74"/>
      <c r="LV17" s="74"/>
      <c r="LW17" s="74"/>
      <c r="LX17" s="74"/>
      <c r="LY17" s="74"/>
      <c r="LZ17" s="74"/>
      <c r="MA17" s="74"/>
      <c r="MB17" s="74"/>
      <c r="MC17" s="74"/>
      <c r="MD17" s="74"/>
      <c r="ME17" s="74"/>
      <c r="MF17" s="74"/>
      <c r="MG17" s="74"/>
      <c r="MH17" s="74"/>
      <c r="MI17" s="74"/>
      <c r="MJ17" s="74"/>
      <c r="MK17" s="74"/>
      <c r="ML17" s="74"/>
      <c r="MM17" s="74"/>
      <c r="MN17" s="74"/>
      <c r="MO17" s="74"/>
      <c r="MP17" s="74"/>
      <c r="MQ17" s="74"/>
      <c r="MR17" s="74"/>
      <c r="MS17" s="74"/>
      <c r="MT17" s="74"/>
    </row>
    <row r="18" spans="1:358" s="13" customFormat="1" hidden="1">
      <c r="A18" s="74"/>
      <c r="B18" s="194"/>
      <c r="C18" s="200"/>
      <c r="D18" s="196"/>
      <c r="E18" s="197"/>
      <c r="F18" s="197"/>
      <c r="G18" s="198"/>
      <c r="H18" s="199"/>
      <c r="I18" s="80"/>
      <c r="J18" s="208"/>
      <c r="K18" s="74"/>
      <c r="L18" s="211"/>
      <c r="M18" s="211"/>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c r="IW18" s="74"/>
      <c r="IX18" s="74"/>
      <c r="IY18" s="74"/>
      <c r="IZ18" s="74"/>
      <c r="JA18" s="74"/>
      <c r="JB18" s="74"/>
      <c r="JC18" s="74"/>
      <c r="JD18" s="74"/>
      <c r="JE18" s="74"/>
      <c r="JF18" s="74"/>
      <c r="JG18" s="74"/>
      <c r="JH18" s="74"/>
      <c r="JI18" s="74"/>
      <c r="JJ18" s="74"/>
      <c r="JK18" s="74"/>
      <c r="JL18" s="74"/>
      <c r="JM18" s="74"/>
      <c r="JN18" s="74"/>
      <c r="JO18" s="74"/>
      <c r="JP18" s="74"/>
      <c r="JQ18" s="74"/>
      <c r="JR18" s="74"/>
      <c r="JS18" s="74"/>
      <c r="JT18" s="74"/>
      <c r="JU18" s="74"/>
      <c r="JV18" s="74"/>
      <c r="JW18" s="74"/>
      <c r="JX18" s="74"/>
      <c r="JY18" s="74"/>
      <c r="JZ18" s="74"/>
      <c r="KA18" s="74"/>
      <c r="KB18" s="74"/>
      <c r="KC18" s="74"/>
      <c r="KD18" s="74"/>
      <c r="KE18" s="74"/>
      <c r="KF18" s="74"/>
      <c r="KG18" s="74"/>
      <c r="KH18" s="74"/>
      <c r="KI18" s="74"/>
      <c r="KJ18" s="74"/>
      <c r="KK18" s="74"/>
      <c r="KL18" s="74"/>
      <c r="KM18" s="74"/>
      <c r="KN18" s="74"/>
      <c r="KO18" s="74"/>
      <c r="KP18" s="74"/>
      <c r="KQ18" s="74"/>
      <c r="KR18" s="74"/>
      <c r="KS18" s="74"/>
      <c r="KT18" s="74"/>
      <c r="KU18" s="74"/>
      <c r="KV18" s="74"/>
      <c r="KW18" s="74"/>
      <c r="KX18" s="74"/>
      <c r="KY18" s="74"/>
      <c r="KZ18" s="74"/>
      <c r="LA18" s="74"/>
      <c r="LB18" s="74"/>
      <c r="LC18" s="74"/>
      <c r="LD18" s="74"/>
      <c r="LE18" s="74"/>
      <c r="LF18" s="74"/>
      <c r="LG18" s="74"/>
      <c r="LH18" s="74"/>
      <c r="LI18" s="74"/>
      <c r="LJ18" s="74"/>
      <c r="LK18" s="74"/>
      <c r="LL18" s="74"/>
      <c r="LM18" s="74"/>
      <c r="LN18" s="74"/>
      <c r="LO18" s="74"/>
      <c r="LP18" s="74"/>
      <c r="LQ18" s="74"/>
      <c r="LR18" s="74"/>
      <c r="LS18" s="74"/>
      <c r="LT18" s="74"/>
      <c r="LU18" s="74"/>
      <c r="LV18" s="74"/>
      <c r="LW18" s="74"/>
      <c r="LX18" s="74"/>
      <c r="LY18" s="74"/>
      <c r="LZ18" s="74"/>
      <c r="MA18" s="74"/>
      <c r="MB18" s="74"/>
      <c r="MC18" s="74"/>
      <c r="MD18" s="74"/>
      <c r="ME18" s="74"/>
      <c r="MF18" s="74"/>
      <c r="MG18" s="74"/>
      <c r="MH18" s="74"/>
      <c r="MI18" s="74"/>
      <c r="MJ18" s="74"/>
      <c r="MK18" s="74"/>
      <c r="ML18" s="74"/>
      <c r="MM18" s="74"/>
      <c r="MN18" s="74"/>
      <c r="MO18" s="74"/>
      <c r="MP18" s="74"/>
      <c r="MQ18" s="74"/>
      <c r="MR18" s="74"/>
      <c r="MS18" s="74"/>
      <c r="MT18" s="74"/>
    </row>
    <row r="19" spans="1:358" s="13" customFormat="1" hidden="1">
      <c r="A19" s="74"/>
      <c r="B19" s="194"/>
      <c r="C19" s="200"/>
      <c r="D19" s="196"/>
      <c r="E19" s="197"/>
      <c r="F19" s="197"/>
      <c r="G19" s="198"/>
      <c r="H19" s="199"/>
      <c r="I19" s="80"/>
      <c r="J19" s="208"/>
      <c r="K19" s="74"/>
      <c r="L19" s="211"/>
      <c r="M19" s="211"/>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c r="IW19" s="74"/>
      <c r="IX19" s="74"/>
      <c r="IY19" s="74"/>
      <c r="IZ19" s="74"/>
      <c r="JA19" s="74"/>
      <c r="JB19" s="74"/>
      <c r="JC19" s="74"/>
      <c r="JD19" s="74"/>
      <c r="JE19" s="74"/>
      <c r="JF19" s="74"/>
      <c r="JG19" s="74"/>
      <c r="JH19" s="74"/>
      <c r="JI19" s="74"/>
      <c r="JJ19" s="74"/>
      <c r="JK19" s="74"/>
      <c r="JL19" s="74"/>
      <c r="JM19" s="74"/>
      <c r="JN19" s="74"/>
      <c r="JO19" s="74"/>
      <c r="JP19" s="74"/>
      <c r="JQ19" s="74"/>
      <c r="JR19" s="74"/>
      <c r="JS19" s="74"/>
      <c r="JT19" s="74"/>
      <c r="JU19" s="74"/>
      <c r="JV19" s="74"/>
      <c r="JW19" s="74"/>
      <c r="JX19" s="74"/>
      <c r="JY19" s="74"/>
      <c r="JZ19" s="74"/>
      <c r="KA19" s="74"/>
      <c r="KB19" s="74"/>
      <c r="KC19" s="74"/>
      <c r="KD19" s="74"/>
      <c r="KE19" s="74"/>
      <c r="KF19" s="74"/>
      <c r="KG19" s="74"/>
      <c r="KH19" s="74"/>
      <c r="KI19" s="74"/>
      <c r="KJ19" s="74"/>
      <c r="KK19" s="74"/>
      <c r="KL19" s="74"/>
      <c r="KM19" s="74"/>
      <c r="KN19" s="74"/>
      <c r="KO19" s="74"/>
      <c r="KP19" s="74"/>
      <c r="KQ19" s="74"/>
      <c r="KR19" s="74"/>
      <c r="KS19" s="74"/>
      <c r="KT19" s="74"/>
      <c r="KU19" s="74"/>
      <c r="KV19" s="74"/>
      <c r="KW19" s="74"/>
      <c r="KX19" s="74"/>
      <c r="KY19" s="74"/>
      <c r="KZ19" s="74"/>
      <c r="LA19" s="74"/>
      <c r="LB19" s="74"/>
      <c r="LC19" s="74"/>
      <c r="LD19" s="74"/>
      <c r="LE19" s="74"/>
      <c r="LF19" s="74"/>
      <c r="LG19" s="74"/>
      <c r="LH19" s="74"/>
      <c r="LI19" s="74"/>
      <c r="LJ19" s="74"/>
      <c r="LK19" s="74"/>
      <c r="LL19" s="74"/>
      <c r="LM19" s="74"/>
      <c r="LN19" s="74"/>
      <c r="LO19" s="74"/>
      <c r="LP19" s="74"/>
      <c r="LQ19" s="74"/>
      <c r="LR19" s="74"/>
      <c r="LS19" s="74"/>
      <c r="LT19" s="74"/>
      <c r="LU19" s="74"/>
      <c r="LV19" s="74"/>
      <c r="LW19" s="74"/>
      <c r="LX19" s="74"/>
      <c r="LY19" s="74"/>
      <c r="LZ19" s="74"/>
      <c r="MA19" s="74"/>
      <c r="MB19" s="74"/>
      <c r="MC19" s="74"/>
      <c r="MD19" s="74"/>
      <c r="ME19" s="74"/>
      <c r="MF19" s="74"/>
      <c r="MG19" s="74"/>
      <c r="MH19" s="74"/>
      <c r="MI19" s="74"/>
      <c r="MJ19" s="74"/>
      <c r="MK19" s="74"/>
      <c r="ML19" s="74"/>
      <c r="MM19" s="74"/>
      <c r="MN19" s="74"/>
      <c r="MO19" s="74"/>
      <c r="MP19" s="74"/>
      <c r="MQ19" s="74"/>
      <c r="MR19" s="74"/>
      <c r="MS19" s="74"/>
      <c r="MT19" s="74"/>
    </row>
    <row r="20" spans="1:358" s="13" customFormat="1" hidden="1">
      <c r="A20" s="74"/>
      <c r="B20" s="194"/>
      <c r="C20" s="200"/>
      <c r="D20" s="196"/>
      <c r="E20" s="197"/>
      <c r="F20" s="197"/>
      <c r="G20" s="198"/>
      <c r="H20" s="199"/>
      <c r="I20" s="80"/>
      <c r="J20" s="208"/>
      <c r="K20" s="74"/>
      <c r="L20" s="211"/>
      <c r="M20" s="211"/>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c r="IX20" s="74"/>
      <c r="IY20" s="74"/>
      <c r="IZ20" s="74"/>
      <c r="JA20" s="74"/>
      <c r="JB20" s="74"/>
      <c r="JC20" s="74"/>
      <c r="JD20" s="74"/>
      <c r="JE20" s="74"/>
      <c r="JF20" s="74"/>
      <c r="JG20" s="74"/>
      <c r="JH20" s="74"/>
      <c r="JI20" s="74"/>
      <c r="JJ20" s="74"/>
      <c r="JK20" s="74"/>
      <c r="JL20" s="74"/>
      <c r="JM20" s="74"/>
      <c r="JN20" s="74"/>
      <c r="JO20" s="74"/>
      <c r="JP20" s="74"/>
      <c r="JQ20" s="74"/>
      <c r="JR20" s="74"/>
      <c r="JS20" s="74"/>
      <c r="JT20" s="74"/>
      <c r="JU20" s="74"/>
      <c r="JV20" s="74"/>
      <c r="JW20" s="74"/>
      <c r="JX20" s="74"/>
      <c r="JY20" s="74"/>
      <c r="JZ20" s="74"/>
      <c r="KA20" s="74"/>
      <c r="KB20" s="74"/>
      <c r="KC20" s="74"/>
      <c r="KD20" s="74"/>
      <c r="KE20" s="74"/>
      <c r="KF20" s="74"/>
      <c r="KG20" s="74"/>
      <c r="KH20" s="74"/>
      <c r="KI20" s="74"/>
      <c r="KJ20" s="74"/>
      <c r="KK20" s="74"/>
      <c r="KL20" s="74"/>
      <c r="KM20" s="74"/>
      <c r="KN20" s="74"/>
      <c r="KO20" s="74"/>
      <c r="KP20" s="74"/>
      <c r="KQ20" s="74"/>
      <c r="KR20" s="74"/>
      <c r="KS20" s="74"/>
      <c r="KT20" s="74"/>
      <c r="KU20" s="74"/>
      <c r="KV20" s="74"/>
      <c r="KW20" s="74"/>
      <c r="KX20" s="74"/>
      <c r="KY20" s="74"/>
      <c r="KZ20" s="74"/>
      <c r="LA20" s="74"/>
      <c r="LB20" s="74"/>
      <c r="LC20" s="74"/>
      <c r="LD20" s="74"/>
      <c r="LE20" s="74"/>
      <c r="LF20" s="74"/>
      <c r="LG20" s="74"/>
      <c r="LH20" s="74"/>
      <c r="LI20" s="74"/>
      <c r="LJ20" s="74"/>
      <c r="LK20" s="74"/>
      <c r="LL20" s="74"/>
      <c r="LM20" s="74"/>
      <c r="LN20" s="74"/>
      <c r="LO20" s="74"/>
      <c r="LP20" s="74"/>
      <c r="LQ20" s="74"/>
      <c r="LR20" s="74"/>
      <c r="LS20" s="74"/>
      <c r="LT20" s="74"/>
      <c r="LU20" s="74"/>
      <c r="LV20" s="74"/>
      <c r="LW20" s="74"/>
      <c r="LX20" s="74"/>
      <c r="LY20" s="74"/>
      <c r="LZ20" s="74"/>
      <c r="MA20" s="74"/>
      <c r="MB20" s="74"/>
      <c r="MC20" s="74"/>
      <c r="MD20" s="74"/>
      <c r="ME20" s="74"/>
      <c r="MF20" s="74"/>
      <c r="MG20" s="74"/>
      <c r="MH20" s="74"/>
      <c r="MI20" s="74"/>
      <c r="MJ20" s="74"/>
      <c r="MK20" s="74"/>
      <c r="ML20" s="74"/>
      <c r="MM20" s="74"/>
      <c r="MN20" s="74"/>
      <c r="MO20" s="74"/>
      <c r="MP20" s="74"/>
      <c r="MQ20" s="74"/>
      <c r="MR20" s="74"/>
      <c r="MS20" s="74"/>
      <c r="MT20" s="74"/>
    </row>
    <row r="21" spans="1:358" s="13" customFormat="1" hidden="1">
      <c r="A21" s="74"/>
      <c r="B21" s="194"/>
      <c r="C21" s="200"/>
      <c r="D21" s="196"/>
      <c r="E21" s="197"/>
      <c r="F21" s="197"/>
      <c r="G21" s="198"/>
      <c r="H21" s="199"/>
      <c r="I21" s="80"/>
      <c r="J21" s="208"/>
      <c r="K21" s="74"/>
      <c r="L21" s="211"/>
      <c r="M21" s="211"/>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74"/>
      <c r="IX21" s="74"/>
      <c r="IY21" s="74"/>
      <c r="IZ21" s="74"/>
      <c r="JA21" s="74"/>
      <c r="JB21" s="74"/>
      <c r="JC21" s="74"/>
      <c r="JD21" s="74"/>
      <c r="JE21" s="74"/>
      <c r="JF21" s="74"/>
      <c r="JG21" s="74"/>
      <c r="JH21" s="74"/>
      <c r="JI21" s="74"/>
      <c r="JJ21" s="74"/>
      <c r="JK21" s="74"/>
      <c r="JL21" s="74"/>
      <c r="JM21" s="74"/>
      <c r="JN21" s="74"/>
      <c r="JO21" s="74"/>
      <c r="JP21" s="74"/>
      <c r="JQ21" s="74"/>
      <c r="JR21" s="74"/>
      <c r="JS21" s="74"/>
      <c r="JT21" s="74"/>
      <c r="JU21" s="74"/>
      <c r="JV21" s="74"/>
      <c r="JW21" s="74"/>
      <c r="JX21" s="74"/>
      <c r="JY21" s="74"/>
      <c r="JZ21" s="74"/>
      <c r="KA21" s="74"/>
      <c r="KB21" s="74"/>
      <c r="KC21" s="74"/>
      <c r="KD21" s="74"/>
      <c r="KE21" s="74"/>
      <c r="KF21" s="74"/>
      <c r="KG21" s="74"/>
      <c r="KH21" s="74"/>
      <c r="KI21" s="74"/>
      <c r="KJ21" s="74"/>
      <c r="KK21" s="74"/>
      <c r="KL21" s="74"/>
      <c r="KM21" s="74"/>
      <c r="KN21" s="74"/>
      <c r="KO21" s="74"/>
      <c r="KP21" s="74"/>
      <c r="KQ21" s="74"/>
      <c r="KR21" s="74"/>
      <c r="KS21" s="74"/>
      <c r="KT21" s="74"/>
      <c r="KU21" s="74"/>
      <c r="KV21" s="74"/>
      <c r="KW21" s="74"/>
      <c r="KX21" s="74"/>
      <c r="KY21" s="74"/>
      <c r="KZ21" s="74"/>
      <c r="LA21" s="74"/>
      <c r="LB21" s="74"/>
      <c r="LC21" s="74"/>
      <c r="LD21" s="74"/>
      <c r="LE21" s="74"/>
      <c r="LF21" s="74"/>
      <c r="LG21" s="74"/>
      <c r="LH21" s="74"/>
      <c r="LI21" s="74"/>
      <c r="LJ21" s="74"/>
      <c r="LK21" s="74"/>
      <c r="LL21" s="74"/>
      <c r="LM21" s="74"/>
      <c r="LN21" s="74"/>
      <c r="LO21" s="74"/>
      <c r="LP21" s="74"/>
      <c r="LQ21" s="74"/>
      <c r="LR21" s="74"/>
      <c r="LS21" s="74"/>
      <c r="LT21" s="74"/>
      <c r="LU21" s="74"/>
      <c r="LV21" s="74"/>
      <c r="LW21" s="74"/>
      <c r="LX21" s="74"/>
      <c r="LY21" s="74"/>
      <c r="LZ21" s="74"/>
      <c r="MA21" s="74"/>
      <c r="MB21" s="74"/>
      <c r="MC21" s="74"/>
      <c r="MD21" s="74"/>
      <c r="ME21" s="74"/>
      <c r="MF21" s="74"/>
      <c r="MG21" s="74"/>
      <c r="MH21" s="74"/>
      <c r="MI21" s="74"/>
      <c r="MJ21" s="74"/>
      <c r="MK21" s="74"/>
      <c r="ML21" s="74"/>
      <c r="MM21" s="74"/>
      <c r="MN21" s="74"/>
      <c r="MO21" s="74"/>
      <c r="MP21" s="74"/>
      <c r="MQ21" s="74"/>
      <c r="MR21" s="74"/>
      <c r="MS21" s="74"/>
      <c r="MT21" s="74"/>
    </row>
    <row r="22" spans="1:358" s="13" customFormat="1" hidden="1">
      <c r="A22" s="74"/>
      <c r="B22" s="194"/>
      <c r="C22" s="200"/>
      <c r="D22" s="196"/>
      <c r="E22" s="197"/>
      <c r="F22" s="197"/>
      <c r="G22" s="198"/>
      <c r="H22" s="199"/>
      <c r="I22" s="80"/>
      <c r="J22" s="208"/>
      <c r="K22" s="74"/>
      <c r="L22" s="211"/>
      <c r="M22" s="211"/>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c r="IX22" s="74"/>
      <c r="IY22" s="74"/>
      <c r="IZ22" s="74"/>
      <c r="JA22" s="74"/>
      <c r="JB22" s="74"/>
      <c r="JC22" s="74"/>
      <c r="JD22" s="74"/>
      <c r="JE22" s="74"/>
      <c r="JF22" s="74"/>
      <c r="JG22" s="74"/>
      <c r="JH22" s="74"/>
      <c r="JI22" s="74"/>
      <c r="JJ22" s="74"/>
      <c r="JK22" s="74"/>
      <c r="JL22" s="74"/>
      <c r="JM22" s="74"/>
      <c r="JN22" s="74"/>
      <c r="JO22" s="74"/>
      <c r="JP22" s="74"/>
      <c r="JQ22" s="74"/>
      <c r="JR22" s="74"/>
      <c r="JS22" s="74"/>
      <c r="JT22" s="74"/>
      <c r="JU22" s="74"/>
      <c r="JV22" s="74"/>
      <c r="JW22" s="74"/>
      <c r="JX22" s="74"/>
      <c r="JY22" s="74"/>
      <c r="JZ22" s="74"/>
      <c r="KA22" s="74"/>
      <c r="KB22" s="74"/>
      <c r="KC22" s="74"/>
      <c r="KD22" s="74"/>
      <c r="KE22" s="74"/>
      <c r="KF22" s="74"/>
      <c r="KG22" s="74"/>
      <c r="KH22" s="74"/>
      <c r="KI22" s="74"/>
      <c r="KJ22" s="74"/>
      <c r="KK22" s="74"/>
      <c r="KL22" s="74"/>
      <c r="KM22" s="74"/>
      <c r="KN22" s="74"/>
      <c r="KO22" s="74"/>
      <c r="KP22" s="74"/>
      <c r="KQ22" s="74"/>
      <c r="KR22" s="74"/>
      <c r="KS22" s="74"/>
      <c r="KT22" s="74"/>
      <c r="KU22" s="74"/>
      <c r="KV22" s="74"/>
      <c r="KW22" s="74"/>
      <c r="KX22" s="74"/>
      <c r="KY22" s="74"/>
      <c r="KZ22" s="74"/>
      <c r="LA22" s="74"/>
      <c r="LB22" s="74"/>
      <c r="LC22" s="74"/>
      <c r="LD22" s="74"/>
      <c r="LE22" s="74"/>
      <c r="LF22" s="74"/>
      <c r="LG22" s="74"/>
      <c r="LH22" s="74"/>
      <c r="LI22" s="74"/>
      <c r="LJ22" s="74"/>
      <c r="LK22" s="74"/>
      <c r="LL22" s="74"/>
      <c r="LM22" s="74"/>
      <c r="LN22" s="74"/>
      <c r="LO22" s="74"/>
      <c r="LP22" s="74"/>
      <c r="LQ22" s="74"/>
      <c r="LR22" s="74"/>
      <c r="LS22" s="74"/>
      <c r="LT22" s="74"/>
      <c r="LU22" s="74"/>
      <c r="LV22" s="74"/>
      <c r="LW22" s="74"/>
      <c r="LX22" s="74"/>
      <c r="LY22" s="74"/>
      <c r="LZ22" s="74"/>
      <c r="MA22" s="74"/>
      <c r="MB22" s="74"/>
      <c r="MC22" s="74"/>
      <c r="MD22" s="74"/>
      <c r="ME22" s="74"/>
      <c r="MF22" s="74"/>
      <c r="MG22" s="74"/>
      <c r="MH22" s="74"/>
      <c r="MI22" s="74"/>
      <c r="MJ22" s="74"/>
      <c r="MK22" s="74"/>
      <c r="ML22" s="74"/>
      <c r="MM22" s="74"/>
      <c r="MN22" s="74"/>
      <c r="MO22" s="74"/>
      <c r="MP22" s="74"/>
      <c r="MQ22" s="74"/>
      <c r="MR22" s="74"/>
      <c r="MS22" s="74"/>
      <c r="MT22" s="74"/>
    </row>
    <row r="23" spans="1:358" s="13" customFormat="1" hidden="1">
      <c r="A23" s="74"/>
      <c r="B23" s="194"/>
      <c r="C23" s="200"/>
      <c r="D23" s="196"/>
      <c r="E23" s="197"/>
      <c r="F23" s="197"/>
      <c r="G23" s="198"/>
      <c r="H23" s="199"/>
      <c r="I23" s="80"/>
      <c r="J23" s="208"/>
      <c r="K23" s="74"/>
      <c r="L23" s="211"/>
      <c r="M23" s="211"/>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4"/>
      <c r="JL23" s="74"/>
      <c r="JM23" s="74"/>
      <c r="JN23" s="74"/>
      <c r="JO23" s="74"/>
      <c r="JP23" s="74"/>
      <c r="JQ23" s="74"/>
      <c r="JR23" s="74"/>
      <c r="JS23" s="74"/>
      <c r="JT23" s="74"/>
      <c r="JU23" s="74"/>
      <c r="JV23" s="74"/>
      <c r="JW23" s="74"/>
      <c r="JX23" s="74"/>
      <c r="JY23" s="74"/>
      <c r="JZ23" s="74"/>
      <c r="KA23" s="74"/>
      <c r="KB23" s="74"/>
      <c r="KC23" s="74"/>
      <c r="KD23" s="74"/>
      <c r="KE23" s="74"/>
      <c r="KF23" s="74"/>
      <c r="KG23" s="74"/>
      <c r="KH23" s="74"/>
      <c r="KI23" s="74"/>
      <c r="KJ23" s="74"/>
      <c r="KK23" s="74"/>
      <c r="KL23" s="74"/>
      <c r="KM23" s="74"/>
      <c r="KN23" s="74"/>
      <c r="KO23" s="74"/>
      <c r="KP23" s="74"/>
      <c r="KQ23" s="74"/>
      <c r="KR23" s="74"/>
      <c r="KS23" s="74"/>
      <c r="KT23" s="74"/>
      <c r="KU23" s="74"/>
      <c r="KV23" s="74"/>
      <c r="KW23" s="74"/>
      <c r="KX23" s="74"/>
      <c r="KY23" s="74"/>
      <c r="KZ23" s="74"/>
      <c r="LA23" s="74"/>
      <c r="LB23" s="74"/>
      <c r="LC23" s="74"/>
      <c r="LD23" s="74"/>
      <c r="LE23" s="74"/>
      <c r="LF23" s="74"/>
      <c r="LG23" s="74"/>
      <c r="LH23" s="74"/>
      <c r="LI23" s="74"/>
      <c r="LJ23" s="74"/>
      <c r="LK23" s="74"/>
      <c r="LL23" s="74"/>
      <c r="LM23" s="74"/>
      <c r="LN23" s="74"/>
      <c r="LO23" s="74"/>
      <c r="LP23" s="74"/>
      <c r="LQ23" s="74"/>
      <c r="LR23" s="74"/>
      <c r="LS23" s="74"/>
      <c r="LT23" s="74"/>
      <c r="LU23" s="74"/>
      <c r="LV23" s="74"/>
      <c r="LW23" s="74"/>
      <c r="LX23" s="74"/>
      <c r="LY23" s="74"/>
      <c r="LZ23" s="74"/>
      <c r="MA23" s="74"/>
      <c r="MB23" s="74"/>
      <c r="MC23" s="74"/>
      <c r="MD23" s="74"/>
      <c r="ME23" s="74"/>
      <c r="MF23" s="74"/>
      <c r="MG23" s="74"/>
      <c r="MH23" s="74"/>
      <c r="MI23" s="74"/>
      <c r="MJ23" s="74"/>
      <c r="MK23" s="74"/>
      <c r="ML23" s="74"/>
      <c r="MM23" s="74"/>
      <c r="MN23" s="74"/>
      <c r="MO23" s="74"/>
      <c r="MP23" s="74"/>
      <c r="MQ23" s="74"/>
      <c r="MR23" s="74"/>
      <c r="MS23" s="74"/>
      <c r="MT23" s="74"/>
    </row>
    <row r="24" spans="1:358" s="13" customFormat="1" hidden="1">
      <c r="A24" s="74"/>
      <c r="B24" s="194"/>
      <c r="C24" s="200"/>
      <c r="D24" s="196"/>
      <c r="E24" s="197"/>
      <c r="F24" s="197"/>
      <c r="G24" s="198"/>
      <c r="H24" s="199"/>
      <c r="I24" s="80"/>
      <c r="J24" s="208"/>
      <c r="K24" s="74"/>
      <c r="L24" s="211"/>
      <c r="M24" s="211"/>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4"/>
      <c r="JL24" s="74"/>
      <c r="JM24" s="74"/>
      <c r="JN24" s="74"/>
      <c r="JO24" s="74"/>
      <c r="JP24" s="74"/>
      <c r="JQ24" s="74"/>
      <c r="JR24" s="74"/>
      <c r="JS24" s="74"/>
      <c r="JT24" s="74"/>
      <c r="JU24" s="74"/>
      <c r="JV24" s="74"/>
      <c r="JW24" s="74"/>
      <c r="JX24" s="74"/>
      <c r="JY24" s="74"/>
      <c r="JZ24" s="74"/>
      <c r="KA24" s="74"/>
      <c r="KB24" s="74"/>
      <c r="KC24" s="74"/>
      <c r="KD24" s="74"/>
      <c r="KE24" s="74"/>
      <c r="KF24" s="74"/>
      <c r="KG24" s="74"/>
      <c r="KH24" s="74"/>
      <c r="KI24" s="74"/>
      <c r="KJ24" s="74"/>
      <c r="KK24" s="74"/>
      <c r="KL24" s="74"/>
      <c r="KM24" s="74"/>
      <c r="KN24" s="74"/>
      <c r="KO24" s="74"/>
      <c r="KP24" s="74"/>
      <c r="KQ24" s="74"/>
      <c r="KR24" s="74"/>
      <c r="KS24" s="74"/>
      <c r="KT24" s="74"/>
      <c r="KU24" s="74"/>
      <c r="KV24" s="74"/>
      <c r="KW24" s="74"/>
      <c r="KX24" s="74"/>
      <c r="KY24" s="74"/>
      <c r="KZ24" s="74"/>
      <c r="LA24" s="74"/>
      <c r="LB24" s="74"/>
      <c r="LC24" s="74"/>
      <c r="LD24" s="74"/>
      <c r="LE24" s="74"/>
      <c r="LF24" s="74"/>
      <c r="LG24" s="74"/>
      <c r="LH24" s="74"/>
      <c r="LI24" s="74"/>
      <c r="LJ24" s="74"/>
      <c r="LK24" s="74"/>
      <c r="LL24" s="74"/>
      <c r="LM24" s="74"/>
      <c r="LN24" s="74"/>
      <c r="LO24" s="74"/>
      <c r="LP24" s="74"/>
      <c r="LQ24" s="74"/>
      <c r="LR24" s="74"/>
      <c r="LS24" s="74"/>
      <c r="LT24" s="74"/>
      <c r="LU24" s="74"/>
      <c r="LV24" s="74"/>
      <c r="LW24" s="74"/>
      <c r="LX24" s="74"/>
      <c r="LY24" s="74"/>
      <c r="LZ24" s="74"/>
      <c r="MA24" s="74"/>
      <c r="MB24" s="74"/>
      <c r="MC24" s="74"/>
      <c r="MD24" s="74"/>
      <c r="ME24" s="74"/>
      <c r="MF24" s="74"/>
      <c r="MG24" s="74"/>
      <c r="MH24" s="74"/>
      <c r="MI24" s="74"/>
      <c r="MJ24" s="74"/>
      <c r="MK24" s="74"/>
      <c r="ML24" s="74"/>
      <c r="MM24" s="74"/>
      <c r="MN24" s="74"/>
      <c r="MO24" s="74"/>
      <c r="MP24" s="74"/>
      <c r="MQ24" s="74"/>
      <c r="MR24" s="74"/>
      <c r="MS24" s="74"/>
      <c r="MT24" s="74"/>
    </row>
    <row r="25" spans="1:358" s="13" customFormat="1" hidden="1">
      <c r="A25" s="74"/>
      <c r="B25" s="194"/>
      <c r="C25" s="200"/>
      <c r="D25" s="196"/>
      <c r="E25" s="197"/>
      <c r="F25" s="197"/>
      <c r="G25" s="198"/>
      <c r="H25" s="199"/>
      <c r="I25" s="80"/>
      <c r="J25" s="208"/>
      <c r="K25" s="74"/>
      <c r="L25" s="211"/>
      <c r="M25" s="211"/>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c r="IR25" s="74"/>
      <c r="IS25" s="74"/>
      <c r="IT25" s="74"/>
      <c r="IU25" s="74"/>
      <c r="IV25" s="74"/>
      <c r="IW25" s="74"/>
      <c r="IX25" s="74"/>
      <c r="IY25" s="74"/>
      <c r="IZ25" s="74"/>
      <c r="JA25" s="74"/>
      <c r="JB25" s="74"/>
      <c r="JC25" s="74"/>
      <c r="JD25" s="74"/>
      <c r="JE25" s="74"/>
      <c r="JF25" s="74"/>
      <c r="JG25" s="74"/>
      <c r="JH25" s="74"/>
      <c r="JI25" s="74"/>
      <c r="JJ25" s="74"/>
      <c r="JK25" s="74"/>
      <c r="JL25" s="74"/>
      <c r="JM25" s="74"/>
      <c r="JN25" s="74"/>
      <c r="JO25" s="74"/>
      <c r="JP25" s="74"/>
      <c r="JQ25" s="74"/>
      <c r="JR25" s="74"/>
      <c r="JS25" s="74"/>
      <c r="JT25" s="74"/>
      <c r="JU25" s="74"/>
      <c r="JV25" s="74"/>
      <c r="JW25" s="74"/>
      <c r="JX25" s="74"/>
      <c r="JY25" s="74"/>
      <c r="JZ25" s="74"/>
      <c r="KA25" s="74"/>
      <c r="KB25" s="74"/>
      <c r="KC25" s="74"/>
      <c r="KD25" s="74"/>
      <c r="KE25" s="74"/>
      <c r="KF25" s="74"/>
      <c r="KG25" s="74"/>
      <c r="KH25" s="74"/>
      <c r="KI25" s="74"/>
      <c r="KJ25" s="74"/>
      <c r="KK25" s="74"/>
      <c r="KL25" s="74"/>
      <c r="KM25" s="74"/>
      <c r="KN25" s="74"/>
      <c r="KO25" s="74"/>
      <c r="KP25" s="74"/>
      <c r="KQ25" s="74"/>
      <c r="KR25" s="74"/>
      <c r="KS25" s="74"/>
      <c r="KT25" s="74"/>
      <c r="KU25" s="74"/>
      <c r="KV25" s="74"/>
      <c r="KW25" s="74"/>
      <c r="KX25" s="74"/>
      <c r="KY25" s="74"/>
      <c r="KZ25" s="74"/>
      <c r="LA25" s="74"/>
      <c r="LB25" s="74"/>
      <c r="LC25" s="74"/>
      <c r="LD25" s="74"/>
      <c r="LE25" s="74"/>
      <c r="LF25" s="74"/>
      <c r="LG25" s="74"/>
      <c r="LH25" s="74"/>
      <c r="LI25" s="74"/>
      <c r="LJ25" s="74"/>
      <c r="LK25" s="74"/>
      <c r="LL25" s="74"/>
      <c r="LM25" s="74"/>
      <c r="LN25" s="74"/>
      <c r="LO25" s="74"/>
      <c r="LP25" s="74"/>
      <c r="LQ25" s="74"/>
      <c r="LR25" s="74"/>
      <c r="LS25" s="74"/>
      <c r="LT25" s="74"/>
      <c r="LU25" s="74"/>
      <c r="LV25" s="74"/>
      <c r="LW25" s="74"/>
      <c r="LX25" s="74"/>
      <c r="LY25" s="74"/>
      <c r="LZ25" s="74"/>
      <c r="MA25" s="74"/>
      <c r="MB25" s="74"/>
      <c r="MC25" s="74"/>
      <c r="MD25" s="74"/>
      <c r="ME25" s="74"/>
      <c r="MF25" s="74"/>
      <c r="MG25" s="74"/>
      <c r="MH25" s="74"/>
      <c r="MI25" s="74"/>
      <c r="MJ25" s="74"/>
      <c r="MK25" s="74"/>
      <c r="ML25" s="74"/>
      <c r="MM25" s="74"/>
      <c r="MN25" s="74"/>
      <c r="MO25" s="74"/>
      <c r="MP25" s="74"/>
      <c r="MQ25" s="74"/>
      <c r="MR25" s="74"/>
      <c r="MS25" s="74"/>
      <c r="MT25" s="74"/>
    </row>
    <row r="26" spans="1:358" s="13" customFormat="1" hidden="1">
      <c r="A26" s="74"/>
      <c r="B26" s="194"/>
      <c r="C26" s="200"/>
      <c r="D26" s="196"/>
      <c r="E26" s="197"/>
      <c r="F26" s="197"/>
      <c r="G26" s="198"/>
      <c r="H26" s="199"/>
      <c r="I26" s="80"/>
      <c r="J26" s="208"/>
      <c r="K26" s="74"/>
      <c r="L26" s="211"/>
      <c r="M26" s="211"/>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c r="IR26" s="74"/>
      <c r="IS26" s="74"/>
      <c r="IT26" s="74"/>
      <c r="IU26" s="74"/>
      <c r="IV26" s="74"/>
      <c r="IW26" s="74"/>
      <c r="IX26" s="74"/>
      <c r="IY26" s="74"/>
      <c r="IZ26" s="74"/>
      <c r="JA26" s="74"/>
      <c r="JB26" s="74"/>
      <c r="JC26" s="74"/>
      <c r="JD26" s="74"/>
      <c r="JE26" s="74"/>
      <c r="JF26" s="74"/>
      <c r="JG26" s="74"/>
      <c r="JH26" s="74"/>
      <c r="JI26" s="74"/>
      <c r="JJ26" s="74"/>
      <c r="JK26" s="74"/>
      <c r="JL26" s="74"/>
      <c r="JM26" s="74"/>
      <c r="JN26" s="74"/>
      <c r="JO26" s="74"/>
      <c r="JP26" s="74"/>
      <c r="JQ26" s="74"/>
      <c r="JR26" s="74"/>
      <c r="JS26" s="74"/>
      <c r="JT26" s="74"/>
      <c r="JU26" s="74"/>
      <c r="JV26" s="74"/>
      <c r="JW26" s="74"/>
      <c r="JX26" s="74"/>
      <c r="JY26" s="74"/>
      <c r="JZ26" s="74"/>
      <c r="KA26" s="74"/>
      <c r="KB26" s="74"/>
      <c r="KC26" s="74"/>
      <c r="KD26" s="74"/>
      <c r="KE26" s="74"/>
      <c r="KF26" s="74"/>
      <c r="KG26" s="74"/>
      <c r="KH26" s="74"/>
      <c r="KI26" s="74"/>
      <c r="KJ26" s="74"/>
      <c r="KK26" s="74"/>
      <c r="KL26" s="74"/>
      <c r="KM26" s="74"/>
      <c r="KN26" s="74"/>
      <c r="KO26" s="74"/>
      <c r="KP26" s="74"/>
      <c r="KQ26" s="74"/>
      <c r="KR26" s="74"/>
      <c r="KS26" s="74"/>
      <c r="KT26" s="74"/>
      <c r="KU26" s="74"/>
      <c r="KV26" s="74"/>
      <c r="KW26" s="74"/>
      <c r="KX26" s="74"/>
      <c r="KY26" s="74"/>
      <c r="KZ26" s="74"/>
      <c r="LA26" s="74"/>
      <c r="LB26" s="74"/>
      <c r="LC26" s="74"/>
      <c r="LD26" s="74"/>
      <c r="LE26" s="74"/>
      <c r="LF26" s="74"/>
      <c r="LG26" s="74"/>
      <c r="LH26" s="74"/>
      <c r="LI26" s="74"/>
      <c r="LJ26" s="74"/>
      <c r="LK26" s="74"/>
      <c r="LL26" s="74"/>
      <c r="LM26" s="74"/>
      <c r="LN26" s="74"/>
      <c r="LO26" s="74"/>
      <c r="LP26" s="74"/>
      <c r="LQ26" s="74"/>
      <c r="LR26" s="74"/>
      <c r="LS26" s="74"/>
      <c r="LT26" s="74"/>
      <c r="LU26" s="74"/>
      <c r="LV26" s="74"/>
      <c r="LW26" s="74"/>
      <c r="LX26" s="74"/>
      <c r="LY26" s="74"/>
      <c r="LZ26" s="74"/>
      <c r="MA26" s="74"/>
      <c r="MB26" s="74"/>
      <c r="MC26" s="74"/>
      <c r="MD26" s="74"/>
      <c r="ME26" s="74"/>
      <c r="MF26" s="74"/>
      <c r="MG26" s="74"/>
      <c r="MH26" s="74"/>
      <c r="MI26" s="74"/>
      <c r="MJ26" s="74"/>
      <c r="MK26" s="74"/>
      <c r="ML26" s="74"/>
      <c r="MM26" s="74"/>
      <c r="MN26" s="74"/>
      <c r="MO26" s="74"/>
      <c r="MP26" s="74"/>
      <c r="MQ26" s="74"/>
      <c r="MR26" s="74"/>
      <c r="MS26" s="74"/>
      <c r="MT26" s="74"/>
    </row>
    <row r="27" spans="1:358" s="13" customFormat="1" hidden="1">
      <c r="A27" s="74"/>
      <c r="B27" s="194"/>
      <c r="C27" s="200"/>
      <c r="D27" s="196"/>
      <c r="E27" s="197"/>
      <c r="F27" s="197"/>
      <c r="G27" s="198"/>
      <c r="H27" s="199"/>
      <c r="I27" s="80"/>
      <c r="J27" s="208"/>
      <c r="K27" s="74"/>
      <c r="L27" s="211"/>
      <c r="M27" s="211"/>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c r="IR27" s="74"/>
      <c r="IS27" s="74"/>
      <c r="IT27" s="74"/>
      <c r="IU27" s="74"/>
      <c r="IV27" s="74"/>
      <c r="IW27" s="74"/>
      <c r="IX27" s="74"/>
      <c r="IY27" s="74"/>
      <c r="IZ27" s="74"/>
      <c r="JA27" s="74"/>
      <c r="JB27" s="74"/>
      <c r="JC27" s="74"/>
      <c r="JD27" s="74"/>
      <c r="JE27" s="74"/>
      <c r="JF27" s="74"/>
      <c r="JG27" s="74"/>
      <c r="JH27" s="74"/>
      <c r="JI27" s="74"/>
      <c r="JJ27" s="74"/>
      <c r="JK27" s="74"/>
      <c r="JL27" s="74"/>
      <c r="JM27" s="74"/>
      <c r="JN27" s="74"/>
      <c r="JO27" s="74"/>
      <c r="JP27" s="74"/>
      <c r="JQ27" s="74"/>
      <c r="JR27" s="74"/>
      <c r="JS27" s="74"/>
      <c r="JT27" s="74"/>
      <c r="JU27" s="74"/>
      <c r="JV27" s="74"/>
      <c r="JW27" s="74"/>
      <c r="JX27" s="74"/>
      <c r="JY27" s="74"/>
      <c r="JZ27" s="74"/>
      <c r="KA27" s="74"/>
      <c r="KB27" s="74"/>
      <c r="KC27" s="74"/>
      <c r="KD27" s="74"/>
      <c r="KE27" s="74"/>
      <c r="KF27" s="74"/>
      <c r="KG27" s="74"/>
      <c r="KH27" s="74"/>
      <c r="KI27" s="74"/>
      <c r="KJ27" s="74"/>
      <c r="KK27" s="74"/>
      <c r="KL27" s="74"/>
      <c r="KM27" s="74"/>
      <c r="KN27" s="74"/>
      <c r="KO27" s="74"/>
      <c r="KP27" s="74"/>
      <c r="KQ27" s="74"/>
      <c r="KR27" s="74"/>
      <c r="KS27" s="74"/>
      <c r="KT27" s="74"/>
      <c r="KU27" s="74"/>
      <c r="KV27" s="74"/>
      <c r="KW27" s="74"/>
      <c r="KX27" s="74"/>
      <c r="KY27" s="74"/>
      <c r="KZ27" s="74"/>
      <c r="LA27" s="74"/>
      <c r="LB27" s="74"/>
      <c r="LC27" s="74"/>
      <c r="LD27" s="74"/>
      <c r="LE27" s="74"/>
      <c r="LF27" s="74"/>
      <c r="LG27" s="74"/>
      <c r="LH27" s="74"/>
      <c r="LI27" s="74"/>
      <c r="LJ27" s="74"/>
      <c r="LK27" s="74"/>
      <c r="LL27" s="74"/>
      <c r="LM27" s="74"/>
      <c r="LN27" s="74"/>
      <c r="LO27" s="74"/>
      <c r="LP27" s="74"/>
      <c r="LQ27" s="74"/>
      <c r="LR27" s="74"/>
      <c r="LS27" s="74"/>
      <c r="LT27" s="74"/>
      <c r="LU27" s="74"/>
      <c r="LV27" s="74"/>
      <c r="LW27" s="74"/>
      <c r="LX27" s="74"/>
      <c r="LY27" s="74"/>
      <c r="LZ27" s="74"/>
      <c r="MA27" s="74"/>
      <c r="MB27" s="74"/>
      <c r="MC27" s="74"/>
      <c r="MD27" s="74"/>
      <c r="ME27" s="74"/>
      <c r="MF27" s="74"/>
      <c r="MG27" s="74"/>
      <c r="MH27" s="74"/>
      <c r="MI27" s="74"/>
      <c r="MJ27" s="74"/>
      <c r="MK27" s="74"/>
      <c r="ML27" s="74"/>
      <c r="MM27" s="74"/>
      <c r="MN27" s="74"/>
      <c r="MO27" s="74"/>
      <c r="MP27" s="74"/>
      <c r="MQ27" s="74"/>
      <c r="MR27" s="74"/>
      <c r="MS27" s="74"/>
      <c r="MT27" s="74"/>
    </row>
    <row r="28" spans="1:358" s="13" customFormat="1" hidden="1">
      <c r="A28" s="74"/>
      <c r="B28" s="194"/>
      <c r="C28" s="200"/>
      <c r="D28" s="196"/>
      <c r="E28" s="197"/>
      <c r="F28" s="197"/>
      <c r="G28" s="198"/>
      <c r="H28" s="199"/>
      <c r="I28" s="80"/>
      <c r="J28" s="208"/>
      <c r="K28" s="74"/>
      <c r="L28" s="211"/>
      <c r="M28" s="211"/>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c r="IR28" s="74"/>
      <c r="IS28" s="74"/>
      <c r="IT28" s="74"/>
      <c r="IU28" s="74"/>
      <c r="IV28" s="74"/>
      <c r="IW28" s="74"/>
      <c r="IX28" s="74"/>
      <c r="IY28" s="74"/>
      <c r="IZ28" s="74"/>
      <c r="JA28" s="74"/>
      <c r="JB28" s="74"/>
      <c r="JC28" s="74"/>
      <c r="JD28" s="74"/>
      <c r="JE28" s="74"/>
      <c r="JF28" s="74"/>
      <c r="JG28" s="74"/>
      <c r="JH28" s="74"/>
      <c r="JI28" s="74"/>
      <c r="JJ28" s="74"/>
      <c r="JK28" s="74"/>
      <c r="JL28" s="74"/>
      <c r="JM28" s="74"/>
      <c r="JN28" s="74"/>
      <c r="JO28" s="74"/>
      <c r="JP28" s="74"/>
      <c r="JQ28" s="74"/>
      <c r="JR28" s="74"/>
      <c r="JS28" s="74"/>
      <c r="JT28" s="74"/>
      <c r="JU28" s="74"/>
      <c r="JV28" s="74"/>
      <c r="JW28" s="74"/>
      <c r="JX28" s="74"/>
      <c r="JY28" s="74"/>
      <c r="JZ28" s="74"/>
      <c r="KA28" s="74"/>
      <c r="KB28" s="74"/>
      <c r="KC28" s="74"/>
      <c r="KD28" s="74"/>
      <c r="KE28" s="74"/>
      <c r="KF28" s="74"/>
      <c r="KG28" s="74"/>
      <c r="KH28" s="74"/>
      <c r="KI28" s="74"/>
      <c r="KJ28" s="74"/>
      <c r="KK28" s="74"/>
      <c r="KL28" s="74"/>
      <c r="KM28" s="74"/>
      <c r="KN28" s="74"/>
      <c r="KO28" s="74"/>
      <c r="KP28" s="74"/>
      <c r="KQ28" s="74"/>
      <c r="KR28" s="74"/>
      <c r="KS28" s="74"/>
      <c r="KT28" s="74"/>
      <c r="KU28" s="74"/>
      <c r="KV28" s="74"/>
      <c r="KW28" s="74"/>
      <c r="KX28" s="74"/>
      <c r="KY28" s="74"/>
      <c r="KZ28" s="74"/>
      <c r="LA28" s="74"/>
      <c r="LB28" s="74"/>
      <c r="LC28" s="74"/>
      <c r="LD28" s="74"/>
      <c r="LE28" s="74"/>
      <c r="LF28" s="74"/>
      <c r="LG28" s="74"/>
      <c r="LH28" s="74"/>
      <c r="LI28" s="74"/>
      <c r="LJ28" s="74"/>
      <c r="LK28" s="74"/>
      <c r="LL28" s="74"/>
      <c r="LM28" s="74"/>
      <c r="LN28" s="74"/>
      <c r="LO28" s="74"/>
      <c r="LP28" s="74"/>
      <c r="LQ28" s="74"/>
      <c r="LR28" s="74"/>
      <c r="LS28" s="74"/>
      <c r="LT28" s="74"/>
      <c r="LU28" s="74"/>
      <c r="LV28" s="74"/>
      <c r="LW28" s="74"/>
      <c r="LX28" s="74"/>
      <c r="LY28" s="74"/>
      <c r="LZ28" s="74"/>
      <c r="MA28" s="74"/>
      <c r="MB28" s="74"/>
      <c r="MC28" s="74"/>
      <c r="MD28" s="74"/>
      <c r="ME28" s="74"/>
      <c r="MF28" s="74"/>
      <c r="MG28" s="74"/>
      <c r="MH28" s="74"/>
      <c r="MI28" s="74"/>
      <c r="MJ28" s="74"/>
      <c r="MK28" s="74"/>
      <c r="ML28" s="74"/>
      <c r="MM28" s="74"/>
      <c r="MN28" s="74"/>
      <c r="MO28" s="74"/>
      <c r="MP28" s="74"/>
      <c r="MQ28" s="74"/>
      <c r="MR28" s="74"/>
      <c r="MS28" s="74"/>
      <c r="MT28" s="74"/>
    </row>
    <row r="29" spans="1:358" s="13" customFormat="1" hidden="1">
      <c r="A29" s="74"/>
      <c r="B29" s="194"/>
      <c r="C29" s="200"/>
      <c r="D29" s="196"/>
      <c r="E29" s="197"/>
      <c r="F29" s="197"/>
      <c r="G29" s="198"/>
      <c r="H29" s="199"/>
      <c r="I29" s="80"/>
      <c r="J29" s="208"/>
      <c r="K29" s="74"/>
      <c r="L29" s="211"/>
      <c r="M29" s="211"/>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c r="IR29" s="74"/>
      <c r="IS29" s="74"/>
      <c r="IT29" s="74"/>
      <c r="IU29" s="74"/>
      <c r="IV29" s="74"/>
      <c r="IW29" s="74"/>
      <c r="IX29" s="74"/>
      <c r="IY29" s="74"/>
      <c r="IZ29" s="74"/>
      <c r="JA29" s="74"/>
      <c r="JB29" s="74"/>
      <c r="JC29" s="74"/>
      <c r="JD29" s="74"/>
      <c r="JE29" s="74"/>
      <c r="JF29" s="74"/>
      <c r="JG29" s="74"/>
      <c r="JH29" s="74"/>
      <c r="JI29" s="74"/>
      <c r="JJ29" s="74"/>
      <c r="JK29" s="74"/>
      <c r="JL29" s="74"/>
      <c r="JM29" s="74"/>
      <c r="JN29" s="74"/>
      <c r="JO29" s="74"/>
      <c r="JP29" s="74"/>
      <c r="JQ29" s="74"/>
      <c r="JR29" s="74"/>
      <c r="JS29" s="74"/>
      <c r="JT29" s="74"/>
      <c r="JU29" s="74"/>
      <c r="JV29" s="74"/>
      <c r="JW29" s="74"/>
      <c r="JX29" s="74"/>
      <c r="JY29" s="74"/>
      <c r="JZ29" s="74"/>
      <c r="KA29" s="74"/>
      <c r="KB29" s="74"/>
      <c r="KC29" s="74"/>
      <c r="KD29" s="74"/>
      <c r="KE29" s="74"/>
      <c r="KF29" s="74"/>
      <c r="KG29" s="74"/>
      <c r="KH29" s="74"/>
      <c r="KI29" s="74"/>
      <c r="KJ29" s="74"/>
      <c r="KK29" s="74"/>
      <c r="KL29" s="74"/>
      <c r="KM29" s="74"/>
      <c r="KN29" s="74"/>
      <c r="KO29" s="74"/>
      <c r="KP29" s="74"/>
      <c r="KQ29" s="74"/>
      <c r="KR29" s="74"/>
      <c r="KS29" s="74"/>
      <c r="KT29" s="74"/>
      <c r="KU29" s="74"/>
      <c r="KV29" s="74"/>
      <c r="KW29" s="74"/>
      <c r="KX29" s="74"/>
      <c r="KY29" s="74"/>
      <c r="KZ29" s="74"/>
      <c r="LA29" s="74"/>
      <c r="LB29" s="74"/>
      <c r="LC29" s="74"/>
      <c r="LD29" s="74"/>
      <c r="LE29" s="74"/>
      <c r="LF29" s="74"/>
      <c r="LG29" s="74"/>
      <c r="LH29" s="74"/>
      <c r="LI29" s="74"/>
      <c r="LJ29" s="74"/>
      <c r="LK29" s="74"/>
      <c r="LL29" s="74"/>
      <c r="LM29" s="74"/>
      <c r="LN29" s="74"/>
      <c r="LO29" s="74"/>
      <c r="LP29" s="74"/>
      <c r="LQ29" s="74"/>
      <c r="LR29" s="74"/>
      <c r="LS29" s="74"/>
      <c r="LT29" s="74"/>
      <c r="LU29" s="74"/>
      <c r="LV29" s="74"/>
      <c r="LW29" s="74"/>
      <c r="LX29" s="74"/>
      <c r="LY29" s="74"/>
      <c r="LZ29" s="74"/>
      <c r="MA29" s="74"/>
      <c r="MB29" s="74"/>
      <c r="MC29" s="74"/>
      <c r="MD29" s="74"/>
      <c r="ME29" s="74"/>
      <c r="MF29" s="74"/>
      <c r="MG29" s="74"/>
      <c r="MH29" s="74"/>
      <c r="MI29" s="74"/>
      <c r="MJ29" s="74"/>
      <c r="MK29" s="74"/>
      <c r="ML29" s="74"/>
      <c r="MM29" s="74"/>
      <c r="MN29" s="74"/>
      <c r="MO29" s="74"/>
      <c r="MP29" s="74"/>
      <c r="MQ29" s="74"/>
      <c r="MR29" s="74"/>
      <c r="MS29" s="74"/>
      <c r="MT29" s="74"/>
    </row>
    <row r="30" spans="1:358" s="13" customFormat="1" hidden="1">
      <c r="A30" s="74"/>
      <c r="B30" s="194"/>
      <c r="C30" s="200"/>
      <c r="D30" s="196"/>
      <c r="E30" s="197"/>
      <c r="F30" s="197"/>
      <c r="G30" s="198"/>
      <c r="H30" s="199"/>
      <c r="I30" s="80"/>
      <c r="J30" s="208"/>
      <c r="K30" s="74"/>
      <c r="L30" s="211"/>
      <c r="M30" s="211"/>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c r="IR30" s="74"/>
      <c r="IS30" s="74"/>
      <c r="IT30" s="74"/>
      <c r="IU30" s="74"/>
      <c r="IV30" s="74"/>
      <c r="IW30" s="74"/>
      <c r="IX30" s="74"/>
      <c r="IY30" s="74"/>
      <c r="IZ30" s="74"/>
      <c r="JA30" s="74"/>
      <c r="JB30" s="74"/>
      <c r="JC30" s="74"/>
      <c r="JD30" s="74"/>
      <c r="JE30" s="74"/>
      <c r="JF30" s="74"/>
      <c r="JG30" s="74"/>
      <c r="JH30" s="74"/>
      <c r="JI30" s="74"/>
      <c r="JJ30" s="74"/>
      <c r="JK30" s="74"/>
      <c r="JL30" s="74"/>
      <c r="JM30" s="74"/>
      <c r="JN30" s="74"/>
      <c r="JO30" s="74"/>
      <c r="JP30" s="74"/>
      <c r="JQ30" s="74"/>
      <c r="JR30" s="74"/>
      <c r="JS30" s="74"/>
      <c r="JT30" s="74"/>
      <c r="JU30" s="74"/>
      <c r="JV30" s="74"/>
      <c r="JW30" s="74"/>
      <c r="JX30" s="74"/>
      <c r="JY30" s="74"/>
      <c r="JZ30" s="74"/>
      <c r="KA30" s="74"/>
      <c r="KB30" s="74"/>
      <c r="KC30" s="74"/>
      <c r="KD30" s="74"/>
      <c r="KE30" s="74"/>
      <c r="KF30" s="74"/>
      <c r="KG30" s="74"/>
      <c r="KH30" s="74"/>
      <c r="KI30" s="74"/>
      <c r="KJ30" s="74"/>
      <c r="KK30" s="74"/>
      <c r="KL30" s="74"/>
      <c r="KM30" s="74"/>
      <c r="KN30" s="74"/>
      <c r="KO30" s="74"/>
      <c r="KP30" s="74"/>
      <c r="KQ30" s="74"/>
      <c r="KR30" s="74"/>
      <c r="KS30" s="74"/>
      <c r="KT30" s="74"/>
      <c r="KU30" s="74"/>
      <c r="KV30" s="74"/>
      <c r="KW30" s="74"/>
      <c r="KX30" s="74"/>
      <c r="KY30" s="74"/>
      <c r="KZ30" s="74"/>
      <c r="LA30" s="74"/>
      <c r="LB30" s="74"/>
      <c r="LC30" s="74"/>
      <c r="LD30" s="74"/>
      <c r="LE30" s="74"/>
      <c r="LF30" s="74"/>
      <c r="LG30" s="74"/>
      <c r="LH30" s="74"/>
      <c r="LI30" s="74"/>
      <c r="LJ30" s="74"/>
      <c r="LK30" s="74"/>
      <c r="LL30" s="74"/>
      <c r="LM30" s="74"/>
      <c r="LN30" s="74"/>
      <c r="LO30" s="74"/>
      <c r="LP30" s="74"/>
      <c r="LQ30" s="74"/>
      <c r="LR30" s="74"/>
      <c r="LS30" s="74"/>
      <c r="LT30" s="74"/>
      <c r="LU30" s="74"/>
      <c r="LV30" s="74"/>
      <c r="LW30" s="74"/>
      <c r="LX30" s="74"/>
      <c r="LY30" s="74"/>
      <c r="LZ30" s="74"/>
      <c r="MA30" s="74"/>
      <c r="MB30" s="74"/>
      <c r="MC30" s="74"/>
      <c r="MD30" s="74"/>
      <c r="ME30" s="74"/>
      <c r="MF30" s="74"/>
      <c r="MG30" s="74"/>
      <c r="MH30" s="74"/>
      <c r="MI30" s="74"/>
      <c r="MJ30" s="74"/>
      <c r="MK30" s="74"/>
      <c r="ML30" s="74"/>
      <c r="MM30" s="74"/>
      <c r="MN30" s="74"/>
      <c r="MO30" s="74"/>
      <c r="MP30" s="74"/>
      <c r="MQ30" s="74"/>
      <c r="MR30" s="74"/>
      <c r="MS30" s="74"/>
      <c r="MT30" s="74"/>
    </row>
    <row r="31" spans="1:358" s="13" customFormat="1" hidden="1">
      <c r="A31" s="74"/>
      <c r="B31" s="194"/>
      <c r="C31" s="200"/>
      <c r="D31" s="196"/>
      <c r="E31" s="197"/>
      <c r="F31" s="197"/>
      <c r="G31" s="198"/>
      <c r="H31" s="199"/>
      <c r="I31" s="80"/>
      <c r="J31" s="208"/>
      <c r="K31" s="74"/>
      <c r="L31" s="211"/>
      <c r="M31" s="211"/>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c r="IT31" s="74"/>
      <c r="IU31" s="74"/>
      <c r="IV31" s="74"/>
      <c r="IW31" s="74"/>
      <c r="IX31" s="74"/>
      <c r="IY31" s="74"/>
      <c r="IZ31" s="74"/>
      <c r="JA31" s="74"/>
      <c r="JB31" s="74"/>
      <c r="JC31" s="74"/>
      <c r="JD31" s="74"/>
      <c r="JE31" s="74"/>
      <c r="JF31" s="74"/>
      <c r="JG31" s="74"/>
      <c r="JH31" s="74"/>
      <c r="JI31" s="74"/>
      <c r="JJ31" s="74"/>
      <c r="JK31" s="74"/>
      <c r="JL31" s="74"/>
      <c r="JM31" s="74"/>
      <c r="JN31" s="74"/>
      <c r="JO31" s="74"/>
      <c r="JP31" s="74"/>
      <c r="JQ31" s="74"/>
      <c r="JR31" s="74"/>
      <c r="JS31" s="74"/>
      <c r="JT31" s="74"/>
      <c r="JU31" s="74"/>
      <c r="JV31" s="74"/>
      <c r="JW31" s="74"/>
      <c r="JX31" s="74"/>
      <c r="JY31" s="74"/>
      <c r="JZ31" s="74"/>
      <c r="KA31" s="74"/>
      <c r="KB31" s="74"/>
      <c r="KC31" s="74"/>
      <c r="KD31" s="74"/>
      <c r="KE31" s="74"/>
      <c r="KF31" s="74"/>
      <c r="KG31" s="74"/>
      <c r="KH31" s="74"/>
      <c r="KI31" s="74"/>
      <c r="KJ31" s="74"/>
      <c r="KK31" s="74"/>
      <c r="KL31" s="74"/>
      <c r="KM31" s="74"/>
      <c r="KN31" s="74"/>
      <c r="KO31" s="74"/>
      <c r="KP31" s="74"/>
      <c r="KQ31" s="74"/>
      <c r="KR31" s="74"/>
      <c r="KS31" s="74"/>
      <c r="KT31" s="74"/>
      <c r="KU31" s="74"/>
      <c r="KV31" s="74"/>
      <c r="KW31" s="74"/>
      <c r="KX31" s="74"/>
      <c r="KY31" s="74"/>
      <c r="KZ31" s="74"/>
      <c r="LA31" s="74"/>
      <c r="LB31" s="74"/>
      <c r="LC31" s="74"/>
      <c r="LD31" s="74"/>
      <c r="LE31" s="74"/>
      <c r="LF31" s="74"/>
      <c r="LG31" s="74"/>
      <c r="LH31" s="74"/>
      <c r="LI31" s="74"/>
      <c r="LJ31" s="74"/>
      <c r="LK31" s="74"/>
      <c r="LL31" s="74"/>
      <c r="LM31" s="74"/>
      <c r="LN31" s="74"/>
      <c r="LO31" s="74"/>
      <c r="LP31" s="74"/>
      <c r="LQ31" s="74"/>
      <c r="LR31" s="74"/>
      <c r="LS31" s="74"/>
      <c r="LT31" s="74"/>
      <c r="LU31" s="74"/>
      <c r="LV31" s="74"/>
      <c r="LW31" s="74"/>
      <c r="LX31" s="74"/>
      <c r="LY31" s="74"/>
      <c r="LZ31" s="74"/>
      <c r="MA31" s="74"/>
      <c r="MB31" s="74"/>
      <c r="MC31" s="74"/>
      <c r="MD31" s="74"/>
      <c r="ME31" s="74"/>
      <c r="MF31" s="74"/>
      <c r="MG31" s="74"/>
      <c r="MH31" s="74"/>
      <c r="MI31" s="74"/>
      <c r="MJ31" s="74"/>
      <c r="MK31" s="74"/>
      <c r="ML31" s="74"/>
      <c r="MM31" s="74"/>
      <c r="MN31" s="74"/>
      <c r="MO31" s="74"/>
      <c r="MP31" s="74"/>
      <c r="MQ31" s="74"/>
      <c r="MR31" s="74"/>
      <c r="MS31" s="74"/>
      <c r="MT31" s="74"/>
    </row>
    <row r="32" spans="1:358" s="13" customFormat="1" hidden="1">
      <c r="A32" s="74"/>
      <c r="B32" s="194"/>
      <c r="C32" s="200"/>
      <c r="D32" s="196"/>
      <c r="E32" s="197"/>
      <c r="F32" s="197"/>
      <c r="G32" s="198"/>
      <c r="H32" s="199"/>
      <c r="I32" s="80"/>
      <c r="J32" s="208"/>
      <c r="K32" s="74"/>
      <c r="L32" s="211"/>
      <c r="M32" s="211"/>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c r="IT32" s="74"/>
      <c r="IU32" s="74"/>
      <c r="IV32" s="74"/>
      <c r="IW32" s="74"/>
      <c r="IX32" s="74"/>
      <c r="IY32" s="74"/>
      <c r="IZ32" s="74"/>
      <c r="JA32" s="74"/>
      <c r="JB32" s="74"/>
      <c r="JC32" s="74"/>
      <c r="JD32" s="74"/>
      <c r="JE32" s="74"/>
      <c r="JF32" s="74"/>
      <c r="JG32" s="74"/>
      <c r="JH32" s="74"/>
      <c r="JI32" s="74"/>
      <c r="JJ32" s="74"/>
      <c r="JK32" s="74"/>
      <c r="JL32" s="74"/>
      <c r="JM32" s="74"/>
      <c r="JN32" s="74"/>
      <c r="JO32" s="74"/>
      <c r="JP32" s="74"/>
      <c r="JQ32" s="74"/>
      <c r="JR32" s="74"/>
      <c r="JS32" s="74"/>
      <c r="JT32" s="74"/>
      <c r="JU32" s="74"/>
      <c r="JV32" s="74"/>
      <c r="JW32" s="74"/>
      <c r="JX32" s="74"/>
      <c r="JY32" s="74"/>
      <c r="JZ32" s="74"/>
      <c r="KA32" s="74"/>
      <c r="KB32" s="74"/>
      <c r="KC32" s="74"/>
      <c r="KD32" s="74"/>
      <c r="KE32" s="74"/>
      <c r="KF32" s="74"/>
      <c r="KG32" s="74"/>
      <c r="KH32" s="74"/>
      <c r="KI32" s="74"/>
      <c r="KJ32" s="74"/>
      <c r="KK32" s="74"/>
      <c r="KL32" s="74"/>
      <c r="KM32" s="74"/>
      <c r="KN32" s="74"/>
      <c r="KO32" s="74"/>
      <c r="KP32" s="74"/>
      <c r="KQ32" s="74"/>
      <c r="KR32" s="74"/>
      <c r="KS32" s="74"/>
      <c r="KT32" s="74"/>
      <c r="KU32" s="74"/>
      <c r="KV32" s="74"/>
      <c r="KW32" s="74"/>
      <c r="KX32" s="74"/>
      <c r="KY32" s="74"/>
      <c r="KZ32" s="74"/>
      <c r="LA32" s="74"/>
      <c r="LB32" s="74"/>
      <c r="LC32" s="74"/>
      <c r="LD32" s="74"/>
      <c r="LE32" s="74"/>
      <c r="LF32" s="74"/>
      <c r="LG32" s="74"/>
      <c r="LH32" s="74"/>
      <c r="LI32" s="74"/>
      <c r="LJ32" s="74"/>
      <c r="LK32" s="74"/>
      <c r="LL32" s="74"/>
      <c r="LM32" s="74"/>
      <c r="LN32" s="74"/>
      <c r="LO32" s="74"/>
      <c r="LP32" s="74"/>
      <c r="LQ32" s="74"/>
      <c r="LR32" s="74"/>
      <c r="LS32" s="74"/>
      <c r="LT32" s="74"/>
      <c r="LU32" s="74"/>
      <c r="LV32" s="74"/>
      <c r="LW32" s="74"/>
      <c r="LX32" s="74"/>
      <c r="LY32" s="74"/>
      <c r="LZ32" s="74"/>
      <c r="MA32" s="74"/>
      <c r="MB32" s="74"/>
      <c r="MC32" s="74"/>
      <c r="MD32" s="74"/>
      <c r="ME32" s="74"/>
      <c r="MF32" s="74"/>
      <c r="MG32" s="74"/>
      <c r="MH32" s="74"/>
      <c r="MI32" s="74"/>
      <c r="MJ32" s="74"/>
      <c r="MK32" s="74"/>
      <c r="ML32" s="74"/>
      <c r="MM32" s="74"/>
      <c r="MN32" s="74"/>
      <c r="MO32" s="74"/>
      <c r="MP32" s="74"/>
      <c r="MQ32" s="74"/>
      <c r="MR32" s="74"/>
      <c r="MS32" s="74"/>
      <c r="MT32" s="74"/>
    </row>
    <row r="33" spans="1:358" s="13" customFormat="1" hidden="1">
      <c r="A33" s="74"/>
      <c r="B33" s="194"/>
      <c r="C33" s="200"/>
      <c r="D33" s="196"/>
      <c r="E33" s="197"/>
      <c r="F33" s="197"/>
      <c r="G33" s="198"/>
      <c r="H33" s="199"/>
      <c r="I33" s="80"/>
      <c r="J33" s="208"/>
      <c r="K33" s="74"/>
      <c r="L33" s="211"/>
      <c r="M33" s="211"/>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c r="IR33" s="74"/>
      <c r="IS33" s="74"/>
      <c r="IT33" s="74"/>
      <c r="IU33" s="74"/>
      <c r="IV33" s="74"/>
      <c r="IW33" s="74"/>
      <c r="IX33" s="74"/>
      <c r="IY33" s="74"/>
      <c r="IZ33" s="74"/>
      <c r="JA33" s="74"/>
      <c r="JB33" s="74"/>
      <c r="JC33" s="74"/>
      <c r="JD33" s="74"/>
      <c r="JE33" s="74"/>
      <c r="JF33" s="74"/>
      <c r="JG33" s="74"/>
      <c r="JH33" s="74"/>
      <c r="JI33" s="74"/>
      <c r="JJ33" s="74"/>
      <c r="JK33" s="74"/>
      <c r="JL33" s="74"/>
      <c r="JM33" s="74"/>
      <c r="JN33" s="74"/>
      <c r="JO33" s="74"/>
      <c r="JP33" s="74"/>
      <c r="JQ33" s="74"/>
      <c r="JR33" s="74"/>
      <c r="JS33" s="74"/>
      <c r="JT33" s="74"/>
      <c r="JU33" s="74"/>
      <c r="JV33" s="74"/>
      <c r="JW33" s="74"/>
      <c r="JX33" s="74"/>
      <c r="JY33" s="74"/>
      <c r="JZ33" s="74"/>
      <c r="KA33" s="74"/>
      <c r="KB33" s="74"/>
      <c r="KC33" s="74"/>
      <c r="KD33" s="74"/>
      <c r="KE33" s="74"/>
      <c r="KF33" s="74"/>
      <c r="KG33" s="74"/>
      <c r="KH33" s="74"/>
      <c r="KI33" s="74"/>
      <c r="KJ33" s="74"/>
      <c r="KK33" s="74"/>
      <c r="KL33" s="74"/>
      <c r="KM33" s="74"/>
      <c r="KN33" s="74"/>
      <c r="KO33" s="74"/>
      <c r="KP33" s="74"/>
      <c r="KQ33" s="74"/>
      <c r="KR33" s="74"/>
      <c r="KS33" s="74"/>
      <c r="KT33" s="74"/>
      <c r="KU33" s="74"/>
      <c r="KV33" s="74"/>
      <c r="KW33" s="74"/>
      <c r="KX33" s="74"/>
      <c r="KY33" s="74"/>
      <c r="KZ33" s="74"/>
      <c r="LA33" s="74"/>
      <c r="LB33" s="74"/>
      <c r="LC33" s="74"/>
      <c r="LD33" s="74"/>
      <c r="LE33" s="74"/>
      <c r="LF33" s="74"/>
      <c r="LG33" s="74"/>
      <c r="LH33" s="74"/>
      <c r="LI33" s="74"/>
      <c r="LJ33" s="74"/>
      <c r="LK33" s="74"/>
      <c r="LL33" s="74"/>
      <c r="LM33" s="74"/>
      <c r="LN33" s="74"/>
      <c r="LO33" s="74"/>
      <c r="LP33" s="74"/>
      <c r="LQ33" s="74"/>
      <c r="LR33" s="74"/>
      <c r="LS33" s="74"/>
      <c r="LT33" s="74"/>
      <c r="LU33" s="74"/>
      <c r="LV33" s="74"/>
      <c r="LW33" s="74"/>
      <c r="LX33" s="74"/>
      <c r="LY33" s="74"/>
      <c r="LZ33" s="74"/>
      <c r="MA33" s="74"/>
      <c r="MB33" s="74"/>
      <c r="MC33" s="74"/>
      <c r="MD33" s="74"/>
      <c r="ME33" s="74"/>
      <c r="MF33" s="74"/>
      <c r="MG33" s="74"/>
      <c r="MH33" s="74"/>
      <c r="MI33" s="74"/>
      <c r="MJ33" s="74"/>
      <c r="MK33" s="74"/>
      <c r="ML33" s="74"/>
      <c r="MM33" s="74"/>
      <c r="MN33" s="74"/>
      <c r="MO33" s="74"/>
      <c r="MP33" s="74"/>
      <c r="MQ33" s="74"/>
      <c r="MR33" s="74"/>
      <c r="MS33" s="74"/>
      <c r="MT33" s="74"/>
    </row>
    <row r="34" spans="1:358" s="13" customFormat="1" hidden="1">
      <c r="A34" s="74"/>
      <c r="B34" s="194"/>
      <c r="C34" s="200"/>
      <c r="D34" s="196"/>
      <c r="E34" s="197"/>
      <c r="F34" s="197"/>
      <c r="G34" s="198"/>
      <c r="H34" s="199"/>
      <c r="I34" s="80"/>
      <c r="J34" s="208"/>
      <c r="K34" s="74"/>
      <c r="L34" s="211"/>
      <c r="M34" s="211"/>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c r="IR34" s="74"/>
      <c r="IS34" s="74"/>
      <c r="IT34" s="74"/>
      <c r="IU34" s="74"/>
      <c r="IV34" s="74"/>
      <c r="IW34" s="74"/>
      <c r="IX34" s="74"/>
      <c r="IY34" s="74"/>
      <c r="IZ34" s="74"/>
      <c r="JA34" s="74"/>
      <c r="JB34" s="74"/>
      <c r="JC34" s="74"/>
      <c r="JD34" s="74"/>
      <c r="JE34" s="74"/>
      <c r="JF34" s="74"/>
      <c r="JG34" s="74"/>
      <c r="JH34" s="74"/>
      <c r="JI34" s="74"/>
      <c r="JJ34" s="74"/>
      <c r="JK34" s="74"/>
      <c r="JL34" s="74"/>
      <c r="JM34" s="74"/>
      <c r="JN34" s="74"/>
      <c r="JO34" s="74"/>
      <c r="JP34" s="74"/>
      <c r="JQ34" s="74"/>
      <c r="JR34" s="74"/>
      <c r="JS34" s="74"/>
      <c r="JT34" s="74"/>
      <c r="JU34" s="74"/>
      <c r="JV34" s="74"/>
      <c r="JW34" s="74"/>
      <c r="JX34" s="74"/>
      <c r="JY34" s="74"/>
      <c r="JZ34" s="74"/>
      <c r="KA34" s="74"/>
      <c r="KB34" s="74"/>
      <c r="KC34" s="74"/>
      <c r="KD34" s="74"/>
      <c r="KE34" s="74"/>
      <c r="KF34" s="74"/>
      <c r="KG34" s="74"/>
      <c r="KH34" s="74"/>
      <c r="KI34" s="74"/>
      <c r="KJ34" s="74"/>
      <c r="KK34" s="74"/>
      <c r="KL34" s="74"/>
      <c r="KM34" s="74"/>
      <c r="KN34" s="74"/>
      <c r="KO34" s="74"/>
      <c r="KP34" s="74"/>
      <c r="KQ34" s="74"/>
      <c r="KR34" s="74"/>
      <c r="KS34" s="74"/>
      <c r="KT34" s="74"/>
      <c r="KU34" s="74"/>
      <c r="KV34" s="74"/>
      <c r="KW34" s="74"/>
      <c r="KX34" s="74"/>
      <c r="KY34" s="74"/>
      <c r="KZ34" s="74"/>
      <c r="LA34" s="74"/>
      <c r="LB34" s="74"/>
      <c r="LC34" s="74"/>
      <c r="LD34" s="74"/>
      <c r="LE34" s="74"/>
      <c r="LF34" s="74"/>
      <c r="LG34" s="74"/>
      <c r="LH34" s="74"/>
      <c r="LI34" s="74"/>
      <c r="LJ34" s="74"/>
      <c r="LK34" s="74"/>
      <c r="LL34" s="74"/>
      <c r="LM34" s="74"/>
      <c r="LN34" s="74"/>
      <c r="LO34" s="74"/>
      <c r="LP34" s="74"/>
      <c r="LQ34" s="74"/>
      <c r="LR34" s="74"/>
      <c r="LS34" s="74"/>
      <c r="LT34" s="74"/>
      <c r="LU34" s="74"/>
      <c r="LV34" s="74"/>
      <c r="LW34" s="74"/>
      <c r="LX34" s="74"/>
      <c r="LY34" s="74"/>
      <c r="LZ34" s="74"/>
      <c r="MA34" s="74"/>
      <c r="MB34" s="74"/>
      <c r="MC34" s="74"/>
      <c r="MD34" s="74"/>
      <c r="ME34" s="74"/>
      <c r="MF34" s="74"/>
      <c r="MG34" s="74"/>
      <c r="MH34" s="74"/>
      <c r="MI34" s="74"/>
      <c r="MJ34" s="74"/>
      <c r="MK34" s="74"/>
      <c r="ML34" s="74"/>
      <c r="MM34" s="74"/>
      <c r="MN34" s="74"/>
      <c r="MO34" s="74"/>
      <c r="MP34" s="74"/>
      <c r="MQ34" s="74"/>
      <c r="MR34" s="74"/>
      <c r="MS34" s="74"/>
      <c r="MT34" s="74"/>
    </row>
    <row r="35" spans="1:358" s="13" customFormat="1" hidden="1">
      <c r="A35" s="74"/>
      <c r="B35" s="194"/>
      <c r="C35" s="200"/>
      <c r="D35" s="196"/>
      <c r="E35" s="197"/>
      <c r="F35" s="197"/>
      <c r="G35" s="198"/>
      <c r="H35" s="199"/>
      <c r="I35" s="80"/>
      <c r="J35" s="208"/>
      <c r="K35" s="74"/>
      <c r="L35" s="211"/>
      <c r="M35" s="211"/>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c r="IR35" s="74"/>
      <c r="IS35" s="74"/>
      <c r="IT35" s="74"/>
      <c r="IU35" s="74"/>
      <c r="IV35" s="74"/>
      <c r="IW35" s="74"/>
      <c r="IX35" s="74"/>
      <c r="IY35" s="74"/>
      <c r="IZ35" s="74"/>
      <c r="JA35" s="74"/>
      <c r="JB35" s="74"/>
      <c r="JC35" s="74"/>
      <c r="JD35" s="74"/>
      <c r="JE35" s="74"/>
      <c r="JF35" s="74"/>
      <c r="JG35" s="74"/>
      <c r="JH35" s="74"/>
      <c r="JI35" s="74"/>
      <c r="JJ35" s="74"/>
      <c r="JK35" s="74"/>
      <c r="JL35" s="74"/>
      <c r="JM35" s="74"/>
      <c r="JN35" s="74"/>
      <c r="JO35" s="74"/>
      <c r="JP35" s="74"/>
      <c r="JQ35" s="74"/>
      <c r="JR35" s="74"/>
      <c r="JS35" s="74"/>
      <c r="JT35" s="74"/>
      <c r="JU35" s="74"/>
      <c r="JV35" s="74"/>
      <c r="JW35" s="74"/>
      <c r="JX35" s="74"/>
      <c r="JY35" s="74"/>
      <c r="JZ35" s="74"/>
      <c r="KA35" s="74"/>
      <c r="KB35" s="74"/>
      <c r="KC35" s="74"/>
      <c r="KD35" s="74"/>
      <c r="KE35" s="74"/>
      <c r="KF35" s="74"/>
      <c r="KG35" s="74"/>
      <c r="KH35" s="74"/>
      <c r="KI35" s="74"/>
      <c r="KJ35" s="74"/>
      <c r="KK35" s="74"/>
      <c r="KL35" s="74"/>
      <c r="KM35" s="74"/>
      <c r="KN35" s="74"/>
      <c r="KO35" s="74"/>
      <c r="KP35" s="74"/>
      <c r="KQ35" s="74"/>
      <c r="KR35" s="74"/>
      <c r="KS35" s="74"/>
      <c r="KT35" s="74"/>
      <c r="KU35" s="74"/>
      <c r="KV35" s="74"/>
      <c r="KW35" s="74"/>
      <c r="KX35" s="74"/>
      <c r="KY35" s="74"/>
      <c r="KZ35" s="74"/>
      <c r="LA35" s="74"/>
      <c r="LB35" s="74"/>
      <c r="LC35" s="74"/>
      <c r="LD35" s="74"/>
      <c r="LE35" s="74"/>
      <c r="LF35" s="74"/>
      <c r="LG35" s="74"/>
      <c r="LH35" s="74"/>
      <c r="LI35" s="74"/>
      <c r="LJ35" s="74"/>
      <c r="LK35" s="74"/>
      <c r="LL35" s="74"/>
      <c r="LM35" s="74"/>
      <c r="LN35" s="74"/>
      <c r="LO35" s="74"/>
      <c r="LP35" s="74"/>
      <c r="LQ35" s="74"/>
      <c r="LR35" s="74"/>
      <c r="LS35" s="74"/>
      <c r="LT35" s="74"/>
      <c r="LU35" s="74"/>
      <c r="LV35" s="74"/>
      <c r="LW35" s="74"/>
      <c r="LX35" s="74"/>
      <c r="LY35" s="74"/>
      <c r="LZ35" s="74"/>
      <c r="MA35" s="74"/>
      <c r="MB35" s="74"/>
      <c r="MC35" s="74"/>
      <c r="MD35" s="74"/>
      <c r="ME35" s="74"/>
      <c r="MF35" s="74"/>
      <c r="MG35" s="74"/>
      <c r="MH35" s="74"/>
      <c r="MI35" s="74"/>
      <c r="MJ35" s="74"/>
      <c r="MK35" s="74"/>
      <c r="ML35" s="74"/>
      <c r="MM35" s="74"/>
      <c r="MN35" s="74"/>
      <c r="MO35" s="74"/>
      <c r="MP35" s="74"/>
      <c r="MQ35" s="74"/>
      <c r="MR35" s="74"/>
      <c r="MS35" s="74"/>
      <c r="MT35" s="74"/>
    </row>
    <row r="36" spans="1:358" s="13" customFormat="1">
      <c r="A36" s="74"/>
      <c r="B36" s="194"/>
      <c r="C36" s="200"/>
      <c r="D36" s="196"/>
      <c r="E36" s="197"/>
      <c r="F36" s="197"/>
      <c r="G36" s="198"/>
      <c r="H36" s="199"/>
      <c r="I36" s="80"/>
      <c r="J36" s="208"/>
      <c r="K36" s="74"/>
      <c r="L36" s="211"/>
      <c r="M36" s="211"/>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c r="IR36" s="74"/>
      <c r="IS36" s="74"/>
      <c r="IT36" s="74"/>
      <c r="IU36" s="74"/>
      <c r="IV36" s="74"/>
      <c r="IW36" s="74"/>
      <c r="IX36" s="74"/>
      <c r="IY36" s="74"/>
      <c r="IZ36" s="74"/>
      <c r="JA36" s="74"/>
      <c r="JB36" s="74"/>
      <c r="JC36" s="74"/>
      <c r="JD36" s="74"/>
      <c r="JE36" s="74"/>
      <c r="JF36" s="74"/>
      <c r="JG36" s="74"/>
      <c r="JH36" s="74"/>
      <c r="JI36" s="74"/>
      <c r="JJ36" s="74"/>
      <c r="JK36" s="74"/>
      <c r="JL36" s="74"/>
      <c r="JM36" s="74"/>
      <c r="JN36" s="74"/>
      <c r="JO36" s="74"/>
      <c r="JP36" s="74"/>
      <c r="JQ36" s="74"/>
      <c r="JR36" s="74"/>
      <c r="JS36" s="74"/>
      <c r="JT36" s="74"/>
      <c r="JU36" s="74"/>
      <c r="JV36" s="74"/>
      <c r="JW36" s="74"/>
      <c r="JX36" s="74"/>
      <c r="JY36" s="74"/>
      <c r="JZ36" s="74"/>
      <c r="KA36" s="74"/>
      <c r="KB36" s="74"/>
      <c r="KC36" s="74"/>
      <c r="KD36" s="74"/>
      <c r="KE36" s="74"/>
      <c r="KF36" s="74"/>
      <c r="KG36" s="74"/>
      <c r="KH36" s="74"/>
      <c r="KI36" s="74"/>
      <c r="KJ36" s="74"/>
      <c r="KK36" s="74"/>
      <c r="KL36" s="74"/>
      <c r="KM36" s="74"/>
      <c r="KN36" s="74"/>
      <c r="KO36" s="74"/>
      <c r="KP36" s="74"/>
      <c r="KQ36" s="74"/>
      <c r="KR36" s="74"/>
      <c r="KS36" s="74"/>
      <c r="KT36" s="74"/>
      <c r="KU36" s="74"/>
      <c r="KV36" s="74"/>
      <c r="KW36" s="74"/>
      <c r="KX36" s="74"/>
      <c r="KY36" s="74"/>
      <c r="KZ36" s="74"/>
      <c r="LA36" s="74"/>
      <c r="LB36" s="74"/>
      <c r="LC36" s="74"/>
      <c r="LD36" s="74"/>
      <c r="LE36" s="74"/>
      <c r="LF36" s="74"/>
      <c r="LG36" s="74"/>
      <c r="LH36" s="74"/>
      <c r="LI36" s="74"/>
      <c r="LJ36" s="74"/>
      <c r="LK36" s="74"/>
      <c r="LL36" s="74"/>
      <c r="LM36" s="74"/>
      <c r="LN36" s="74"/>
      <c r="LO36" s="74"/>
      <c r="LP36" s="74"/>
      <c r="LQ36" s="74"/>
      <c r="LR36" s="74"/>
      <c r="LS36" s="74"/>
      <c r="LT36" s="74"/>
      <c r="LU36" s="74"/>
      <c r="LV36" s="74"/>
      <c r="LW36" s="74"/>
      <c r="LX36" s="74"/>
      <c r="LY36" s="74"/>
      <c r="LZ36" s="74"/>
      <c r="MA36" s="74"/>
      <c r="MB36" s="74"/>
      <c r="MC36" s="74"/>
      <c r="MD36" s="74"/>
      <c r="ME36" s="74"/>
      <c r="MF36" s="74"/>
      <c r="MG36" s="74"/>
      <c r="MH36" s="74"/>
      <c r="MI36" s="74"/>
      <c r="MJ36" s="74"/>
      <c r="MK36" s="74"/>
      <c r="ML36" s="74"/>
      <c r="MM36" s="74"/>
      <c r="MN36" s="74"/>
      <c r="MO36" s="74"/>
      <c r="MP36" s="74"/>
      <c r="MQ36" s="74"/>
      <c r="MR36" s="74"/>
      <c r="MS36" s="74"/>
      <c r="MT36" s="74"/>
    </row>
    <row r="37" spans="1:358" s="13" customFormat="1" ht="14" thickBot="1">
      <c r="A37" s="74"/>
      <c r="B37" s="201"/>
      <c r="C37" s="202"/>
      <c r="D37" s="203"/>
      <c r="E37" s="204"/>
      <c r="F37" s="204"/>
      <c r="G37" s="205"/>
      <c r="H37" s="206"/>
      <c r="I37" s="80"/>
      <c r="J37" s="209"/>
      <c r="K37" s="74"/>
      <c r="L37" s="212"/>
      <c r="M37" s="212"/>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c r="IR37" s="74"/>
      <c r="IS37" s="74"/>
      <c r="IT37" s="74"/>
      <c r="IU37" s="74"/>
      <c r="IV37" s="74"/>
      <c r="IW37" s="74"/>
      <c r="IX37" s="74"/>
      <c r="IY37" s="74"/>
      <c r="IZ37" s="74"/>
      <c r="JA37" s="74"/>
      <c r="JB37" s="74"/>
      <c r="JC37" s="74"/>
      <c r="JD37" s="74"/>
      <c r="JE37" s="74"/>
      <c r="JF37" s="74"/>
      <c r="JG37" s="74"/>
      <c r="JH37" s="74"/>
      <c r="JI37" s="74"/>
      <c r="JJ37" s="74"/>
      <c r="JK37" s="74"/>
      <c r="JL37" s="74"/>
      <c r="JM37" s="74"/>
      <c r="JN37" s="74"/>
      <c r="JO37" s="74"/>
      <c r="JP37" s="74"/>
      <c r="JQ37" s="74"/>
      <c r="JR37" s="74"/>
      <c r="JS37" s="74"/>
      <c r="JT37" s="74"/>
      <c r="JU37" s="74"/>
      <c r="JV37" s="74"/>
      <c r="JW37" s="74"/>
      <c r="JX37" s="74"/>
      <c r="JY37" s="74"/>
      <c r="JZ37" s="74"/>
      <c r="KA37" s="74"/>
      <c r="KB37" s="74"/>
      <c r="KC37" s="74"/>
      <c r="KD37" s="74"/>
      <c r="KE37" s="74"/>
      <c r="KF37" s="74"/>
      <c r="KG37" s="74"/>
      <c r="KH37" s="74"/>
      <c r="KI37" s="74"/>
      <c r="KJ37" s="74"/>
      <c r="KK37" s="74"/>
      <c r="KL37" s="74"/>
      <c r="KM37" s="74"/>
      <c r="KN37" s="74"/>
      <c r="KO37" s="74"/>
      <c r="KP37" s="74"/>
      <c r="KQ37" s="74"/>
      <c r="KR37" s="74"/>
      <c r="KS37" s="74"/>
      <c r="KT37" s="74"/>
      <c r="KU37" s="74"/>
      <c r="KV37" s="74"/>
      <c r="KW37" s="74"/>
      <c r="KX37" s="74"/>
      <c r="KY37" s="74"/>
      <c r="KZ37" s="74"/>
      <c r="LA37" s="74"/>
      <c r="LB37" s="74"/>
      <c r="LC37" s="74"/>
      <c r="LD37" s="74"/>
      <c r="LE37" s="74"/>
      <c r="LF37" s="74"/>
      <c r="LG37" s="74"/>
      <c r="LH37" s="74"/>
      <c r="LI37" s="74"/>
      <c r="LJ37" s="74"/>
      <c r="LK37" s="74"/>
      <c r="LL37" s="74"/>
      <c r="LM37" s="74"/>
      <c r="LN37" s="74"/>
      <c r="LO37" s="74"/>
      <c r="LP37" s="74"/>
      <c r="LQ37" s="74"/>
      <c r="LR37" s="74"/>
      <c r="LS37" s="74"/>
      <c r="LT37" s="74"/>
      <c r="LU37" s="74"/>
      <c r="LV37" s="74"/>
      <c r="LW37" s="74"/>
      <c r="LX37" s="74"/>
      <c r="LY37" s="74"/>
      <c r="LZ37" s="74"/>
      <c r="MA37" s="74"/>
      <c r="MB37" s="74"/>
      <c r="MC37" s="74"/>
      <c r="MD37" s="74"/>
      <c r="ME37" s="74"/>
      <c r="MF37" s="74"/>
      <c r="MG37" s="74"/>
      <c r="MH37" s="74"/>
      <c r="MI37" s="74"/>
      <c r="MJ37" s="74"/>
      <c r="MK37" s="74"/>
      <c r="ML37" s="74"/>
      <c r="MM37" s="74"/>
      <c r="MN37" s="74"/>
      <c r="MO37" s="74"/>
      <c r="MP37" s="74"/>
      <c r="MQ37" s="74"/>
      <c r="MR37" s="74"/>
      <c r="MS37" s="74"/>
      <c r="MT37" s="74"/>
    </row>
    <row r="38" spans="1:358" s="13" customFormat="1" ht="14.5" thickBot="1">
      <c r="A38" s="74"/>
      <c r="B38" s="74"/>
      <c r="C38" s="343" t="s">
        <v>45</v>
      </c>
      <c r="D38" s="207">
        <f>SUM(D8:D37)</f>
        <v>1236405</v>
      </c>
      <c r="E38" s="207">
        <f>SUM(E8:E37)</f>
        <v>1302129</v>
      </c>
      <c r="F38" s="207">
        <f>SUM(F8:F37)</f>
        <v>1362663</v>
      </c>
      <c r="G38" s="207">
        <f>SUM(G8:G37)</f>
        <v>1432643</v>
      </c>
      <c r="H38" s="207"/>
      <c r="I38" s="80"/>
      <c r="J38" s="210">
        <f t="shared" ref="J38" si="3">SUM(J8:J37)</f>
        <v>93871.446674071296</v>
      </c>
      <c r="K38" s="74"/>
      <c r="L38" s="207">
        <f>SUM(L8:L37)</f>
        <v>1682587</v>
      </c>
      <c r="M38" s="207"/>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c r="IT38" s="74"/>
      <c r="IU38" s="74"/>
      <c r="IV38" s="74"/>
      <c r="IW38" s="74"/>
      <c r="IX38" s="74"/>
      <c r="IY38" s="74"/>
      <c r="IZ38" s="74"/>
      <c r="JA38" s="74"/>
      <c r="JB38" s="74"/>
      <c r="JC38" s="74"/>
      <c r="JD38" s="74"/>
      <c r="JE38" s="74"/>
      <c r="JF38" s="74"/>
      <c r="JG38" s="74"/>
      <c r="JH38" s="74"/>
      <c r="JI38" s="74"/>
      <c r="JJ38" s="74"/>
      <c r="JK38" s="74"/>
      <c r="JL38" s="74"/>
      <c r="JM38" s="74"/>
      <c r="JN38" s="74"/>
      <c r="JO38" s="74"/>
      <c r="JP38" s="74"/>
      <c r="JQ38" s="74"/>
      <c r="JR38" s="74"/>
      <c r="JS38" s="74"/>
      <c r="JT38" s="74"/>
      <c r="JU38" s="74"/>
      <c r="JV38" s="74"/>
      <c r="JW38" s="74"/>
      <c r="JX38" s="74"/>
      <c r="JY38" s="74"/>
      <c r="JZ38" s="74"/>
      <c r="KA38" s="74"/>
      <c r="KB38" s="74"/>
      <c r="KC38" s="74"/>
      <c r="KD38" s="74"/>
      <c r="KE38" s="74"/>
      <c r="KF38" s="74"/>
      <c r="KG38" s="74"/>
      <c r="KH38" s="74"/>
      <c r="KI38" s="74"/>
      <c r="KJ38" s="74"/>
      <c r="KK38" s="74"/>
      <c r="KL38" s="74"/>
      <c r="KM38" s="74"/>
      <c r="KN38" s="74"/>
      <c r="KO38" s="74"/>
      <c r="KP38" s="74"/>
      <c r="KQ38" s="74"/>
      <c r="KR38" s="74"/>
      <c r="KS38" s="74"/>
      <c r="KT38" s="74"/>
      <c r="KU38" s="74"/>
      <c r="KV38" s="74"/>
      <c r="KW38" s="74"/>
      <c r="KX38" s="74"/>
      <c r="KY38" s="74"/>
      <c r="KZ38" s="74"/>
      <c r="LA38" s="74"/>
      <c r="LB38" s="74"/>
      <c r="LC38" s="74"/>
      <c r="LD38" s="74"/>
      <c r="LE38" s="74"/>
      <c r="LF38" s="74"/>
      <c r="LG38" s="74"/>
      <c r="LH38" s="74"/>
      <c r="LI38" s="74"/>
      <c r="LJ38" s="74"/>
      <c r="LK38" s="74"/>
      <c r="LL38" s="74"/>
      <c r="LM38" s="74"/>
      <c r="LN38" s="74"/>
      <c r="LO38" s="74"/>
      <c r="LP38" s="74"/>
      <c r="LQ38" s="74"/>
      <c r="LR38" s="74"/>
      <c r="LS38" s="74"/>
      <c r="LT38" s="74"/>
      <c r="LU38" s="74"/>
      <c r="LV38" s="74"/>
      <c r="LW38" s="74"/>
      <c r="LX38" s="74"/>
      <c r="LY38" s="74"/>
      <c r="LZ38" s="74"/>
      <c r="MA38" s="74"/>
      <c r="MB38" s="74"/>
      <c r="MC38" s="74"/>
      <c r="MD38" s="74"/>
      <c r="ME38" s="74"/>
      <c r="MF38" s="74"/>
      <c r="MG38" s="74"/>
      <c r="MH38" s="74"/>
      <c r="MI38" s="74"/>
      <c r="MJ38" s="74"/>
      <c r="MK38" s="74"/>
      <c r="ML38" s="74"/>
      <c r="MM38" s="74"/>
      <c r="MN38" s="74"/>
      <c r="MO38" s="74"/>
      <c r="MP38" s="74"/>
      <c r="MQ38" s="74"/>
      <c r="MR38" s="74"/>
      <c r="MS38" s="74"/>
      <c r="MT38" s="74"/>
    </row>
    <row r="39" spans="1:358" s="13" customFormat="1">
      <c r="A39" s="74"/>
      <c r="B39" s="74"/>
      <c r="C39" s="74"/>
      <c r="D39" s="74"/>
      <c r="E39" s="74"/>
      <c r="F39" s="76">
        <f>F38-D38</f>
        <v>126258</v>
      </c>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c r="IN39" s="74"/>
      <c r="IO39" s="74"/>
      <c r="IP39" s="74"/>
      <c r="IQ39" s="74"/>
      <c r="IR39" s="74"/>
      <c r="IS39" s="74"/>
      <c r="IT39" s="74"/>
      <c r="IU39" s="74"/>
      <c r="IV39" s="74"/>
      <c r="IW39" s="74"/>
      <c r="IX39" s="74"/>
      <c r="IY39" s="74"/>
      <c r="IZ39" s="74"/>
      <c r="JA39" s="74"/>
      <c r="JB39" s="74"/>
      <c r="JC39" s="74"/>
      <c r="JD39" s="74"/>
      <c r="JE39" s="74"/>
      <c r="JF39" s="74"/>
      <c r="JG39" s="74"/>
      <c r="JH39" s="74"/>
      <c r="JI39" s="74"/>
      <c r="JJ39" s="74"/>
      <c r="JK39" s="74"/>
      <c r="JL39" s="74"/>
      <c r="JM39" s="74"/>
      <c r="JN39" s="74"/>
      <c r="JO39" s="74"/>
      <c r="JP39" s="74"/>
      <c r="JQ39" s="74"/>
      <c r="JR39" s="74"/>
      <c r="JS39" s="74"/>
      <c r="JT39" s="74"/>
      <c r="JU39" s="74"/>
      <c r="JV39" s="74"/>
      <c r="JW39" s="74"/>
      <c r="JX39" s="74"/>
      <c r="JY39" s="74"/>
      <c r="JZ39" s="74"/>
      <c r="KA39" s="74"/>
      <c r="KB39" s="74"/>
      <c r="KC39" s="74"/>
      <c r="KD39" s="74"/>
      <c r="KE39" s="74"/>
      <c r="KF39" s="74"/>
      <c r="KG39" s="74"/>
      <c r="KH39" s="74"/>
      <c r="KI39" s="74"/>
      <c r="KJ39" s="74"/>
      <c r="KK39" s="74"/>
      <c r="KL39" s="74"/>
      <c r="KM39" s="74"/>
      <c r="KN39" s="74"/>
      <c r="KO39" s="74"/>
      <c r="KP39" s="74"/>
      <c r="KQ39" s="74"/>
      <c r="KR39" s="74"/>
      <c r="KS39" s="74"/>
      <c r="KT39" s="74"/>
      <c r="KU39" s="74"/>
      <c r="KV39" s="74"/>
      <c r="KW39" s="74"/>
      <c r="KX39" s="74"/>
      <c r="KY39" s="74"/>
      <c r="KZ39" s="74"/>
      <c r="LA39" s="74"/>
      <c r="LB39" s="74"/>
      <c r="LC39" s="74"/>
      <c r="LD39" s="74"/>
      <c r="LE39" s="74"/>
      <c r="LF39" s="74"/>
      <c r="LG39" s="74"/>
      <c r="LH39" s="74"/>
      <c r="LI39" s="74"/>
      <c r="LJ39" s="74"/>
      <c r="LK39" s="74"/>
      <c r="LL39" s="74"/>
      <c r="LM39" s="74"/>
      <c r="LN39" s="74"/>
      <c r="LO39" s="74"/>
      <c r="LP39" s="74"/>
      <c r="LQ39" s="74"/>
      <c r="LR39" s="74"/>
      <c r="LS39" s="74"/>
      <c r="LT39" s="74"/>
      <c r="LU39" s="74"/>
      <c r="LV39" s="74"/>
      <c r="LW39" s="74"/>
      <c r="LX39" s="74"/>
      <c r="LY39" s="74"/>
      <c r="LZ39" s="74"/>
      <c r="MA39" s="74"/>
      <c r="MB39" s="74"/>
      <c r="MC39" s="74"/>
      <c r="MD39" s="74"/>
      <c r="ME39" s="74"/>
      <c r="MF39" s="74"/>
      <c r="MG39" s="74"/>
      <c r="MH39" s="74"/>
      <c r="MI39" s="74"/>
      <c r="MJ39" s="74"/>
      <c r="MK39" s="74"/>
      <c r="ML39" s="74"/>
      <c r="MM39" s="74"/>
      <c r="MN39" s="74"/>
      <c r="MO39" s="74"/>
      <c r="MP39" s="74"/>
      <c r="MQ39" s="74"/>
      <c r="MR39" s="74"/>
      <c r="MS39" s="74"/>
      <c r="MT39" s="74"/>
    </row>
    <row r="40" spans="1:358" s="13" customForma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c r="IN40" s="74"/>
      <c r="IO40" s="74"/>
      <c r="IP40" s="74"/>
      <c r="IQ40" s="74"/>
      <c r="IR40" s="74"/>
      <c r="IS40" s="74"/>
      <c r="IT40" s="74"/>
      <c r="IU40" s="74"/>
      <c r="IV40" s="74"/>
      <c r="IW40" s="74"/>
      <c r="IX40" s="74"/>
      <c r="IY40" s="74"/>
      <c r="IZ40" s="74"/>
      <c r="JA40" s="74"/>
      <c r="JB40" s="74"/>
      <c r="JC40" s="74"/>
      <c r="JD40" s="74"/>
      <c r="JE40" s="74"/>
      <c r="JF40" s="74"/>
      <c r="JG40" s="74"/>
      <c r="JH40" s="74"/>
      <c r="JI40" s="74"/>
      <c r="JJ40" s="74"/>
      <c r="JK40" s="74"/>
      <c r="JL40" s="74"/>
      <c r="JM40" s="74"/>
      <c r="JN40" s="74"/>
      <c r="JO40" s="74"/>
      <c r="JP40" s="74"/>
      <c r="JQ40" s="74"/>
      <c r="JR40" s="74"/>
      <c r="JS40" s="74"/>
      <c r="JT40" s="74"/>
      <c r="JU40" s="74"/>
      <c r="JV40" s="74"/>
      <c r="JW40" s="74"/>
      <c r="JX40" s="74"/>
      <c r="JY40" s="74"/>
      <c r="JZ40" s="74"/>
      <c r="KA40" s="74"/>
      <c r="KB40" s="74"/>
      <c r="KC40" s="74"/>
      <c r="KD40" s="74"/>
      <c r="KE40" s="74"/>
      <c r="KF40" s="74"/>
      <c r="KG40" s="74"/>
      <c r="KH40" s="74"/>
      <c r="KI40" s="74"/>
      <c r="KJ40" s="74"/>
      <c r="KK40" s="74"/>
      <c r="KL40" s="74"/>
      <c r="KM40" s="74"/>
      <c r="KN40" s="74"/>
      <c r="KO40" s="74"/>
      <c r="KP40" s="74"/>
      <c r="KQ40" s="74"/>
      <c r="KR40" s="74"/>
      <c r="KS40" s="74"/>
      <c r="KT40" s="74"/>
      <c r="KU40" s="74"/>
      <c r="KV40" s="74"/>
      <c r="KW40" s="74"/>
      <c r="KX40" s="74"/>
      <c r="KY40" s="74"/>
      <c r="KZ40" s="74"/>
      <c r="LA40" s="74"/>
      <c r="LB40" s="74"/>
      <c r="LC40" s="74"/>
      <c r="LD40" s="74"/>
      <c r="LE40" s="74"/>
      <c r="LF40" s="74"/>
      <c r="LG40" s="74"/>
      <c r="LH40" s="74"/>
      <c r="LI40" s="74"/>
      <c r="LJ40" s="74"/>
      <c r="LK40" s="74"/>
      <c r="LL40" s="74"/>
      <c r="LM40" s="74"/>
      <c r="LN40" s="74"/>
      <c r="LO40" s="74"/>
      <c r="LP40" s="74"/>
      <c r="LQ40" s="74"/>
      <c r="LR40" s="74"/>
      <c r="LS40" s="74"/>
      <c r="LT40" s="74"/>
      <c r="LU40" s="74"/>
      <c r="LV40" s="74"/>
      <c r="LW40" s="74"/>
      <c r="LX40" s="74"/>
      <c r="LY40" s="74"/>
      <c r="LZ40" s="74"/>
      <c r="MA40" s="74"/>
      <c r="MB40" s="74"/>
      <c r="MC40" s="74"/>
      <c r="MD40" s="74"/>
      <c r="ME40" s="74"/>
      <c r="MF40" s="74"/>
      <c r="MG40" s="74"/>
      <c r="MH40" s="74"/>
      <c r="MI40" s="74"/>
      <c r="MJ40" s="74"/>
      <c r="MK40" s="74"/>
      <c r="ML40" s="74"/>
      <c r="MM40" s="74"/>
      <c r="MN40" s="74"/>
      <c r="MO40" s="74"/>
      <c r="MP40" s="74"/>
      <c r="MQ40" s="74"/>
      <c r="MR40" s="74"/>
      <c r="MS40" s="74"/>
      <c r="MT40" s="74"/>
    </row>
    <row r="41" spans="1:358" s="13" customFormat="1" ht="23" thickBot="1">
      <c r="A41" s="74"/>
      <c r="B41" s="78" t="s">
        <v>110</v>
      </c>
      <c r="C41" s="78"/>
      <c r="D41" s="78"/>
      <c r="E41" s="78"/>
      <c r="F41" s="78"/>
      <c r="G41" s="78"/>
      <c r="H41" s="78"/>
      <c r="I41" s="78"/>
      <c r="J41" s="78"/>
      <c r="K41" s="78"/>
      <c r="L41" s="78"/>
      <c r="M41" s="51"/>
      <c r="N41" s="51"/>
      <c r="O41" s="51"/>
      <c r="P41" s="51"/>
      <c r="Q41" s="51"/>
      <c r="R41" s="51"/>
      <c r="S41" s="51"/>
      <c r="T41" s="51"/>
      <c r="U41" s="51"/>
      <c r="V41" s="51"/>
      <c r="W41" s="51"/>
      <c r="X41" s="51"/>
      <c r="Y41" s="51"/>
      <c r="Z41" s="51"/>
      <c r="AA41" s="51"/>
      <c r="AB41" s="51"/>
      <c r="AC41" s="51"/>
      <c r="AD41" s="51"/>
      <c r="AE41" s="51"/>
      <c r="AF41" s="51"/>
      <c r="AG41" s="51"/>
      <c r="AH41" s="51"/>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c r="IT41" s="74"/>
      <c r="IU41" s="74"/>
      <c r="IV41" s="74"/>
      <c r="IW41" s="74"/>
      <c r="IX41" s="74"/>
      <c r="IY41" s="74"/>
      <c r="IZ41" s="74"/>
      <c r="JA41" s="74"/>
      <c r="JB41" s="74"/>
      <c r="JC41" s="74"/>
      <c r="JD41" s="74"/>
      <c r="JE41" s="74"/>
      <c r="JF41" s="74"/>
      <c r="JG41" s="74"/>
      <c r="JH41" s="74"/>
      <c r="JI41" s="74"/>
      <c r="JJ41" s="74"/>
      <c r="JK41" s="74"/>
      <c r="JL41" s="74"/>
      <c r="JM41" s="74"/>
      <c r="JN41" s="74"/>
      <c r="JO41" s="74"/>
      <c r="JP41" s="74"/>
      <c r="JQ41" s="74"/>
      <c r="JR41" s="74"/>
      <c r="JS41" s="74"/>
      <c r="JT41" s="74"/>
      <c r="JU41" s="74"/>
      <c r="JV41" s="74"/>
      <c r="JW41" s="74"/>
      <c r="JX41" s="74"/>
      <c r="JY41" s="74"/>
      <c r="JZ41" s="74"/>
      <c r="KA41" s="74"/>
      <c r="KB41" s="74"/>
      <c r="KC41" s="74"/>
      <c r="KD41" s="74"/>
      <c r="KE41" s="74"/>
      <c r="KF41" s="74"/>
      <c r="KG41" s="74"/>
      <c r="KH41" s="74"/>
      <c r="KI41" s="74"/>
      <c r="KJ41" s="74"/>
      <c r="KK41" s="74"/>
      <c r="KL41" s="74"/>
      <c r="KM41" s="74"/>
      <c r="KN41" s="74"/>
      <c r="KO41" s="74"/>
      <c r="KP41" s="74"/>
      <c r="KQ41" s="74"/>
      <c r="KR41" s="74"/>
      <c r="KS41" s="74"/>
      <c r="KT41" s="74"/>
      <c r="KU41" s="74"/>
      <c r="KV41" s="74"/>
      <c r="KW41" s="74"/>
      <c r="KX41" s="74"/>
      <c r="KY41" s="74"/>
      <c r="KZ41" s="74"/>
      <c r="LA41" s="74"/>
      <c r="LB41" s="74"/>
      <c r="LC41" s="74"/>
      <c r="LD41" s="74"/>
      <c r="LE41" s="74"/>
      <c r="LF41" s="74"/>
      <c r="LG41" s="74"/>
      <c r="LH41" s="74"/>
      <c r="LI41" s="74"/>
      <c r="LJ41" s="74"/>
      <c r="LK41" s="74"/>
      <c r="LL41" s="74"/>
      <c r="LM41" s="74"/>
      <c r="LN41" s="74"/>
      <c r="LO41" s="74"/>
      <c r="LP41" s="74"/>
      <c r="LQ41" s="74"/>
      <c r="LR41" s="74"/>
      <c r="LS41" s="74"/>
      <c r="LT41" s="74"/>
      <c r="LU41" s="74"/>
      <c r="LV41" s="74"/>
      <c r="LW41" s="74"/>
      <c r="LX41" s="74"/>
      <c r="LY41" s="74"/>
      <c r="LZ41" s="74"/>
      <c r="MA41" s="74"/>
      <c r="MB41" s="74"/>
      <c r="MC41" s="74"/>
      <c r="MD41" s="74"/>
      <c r="ME41" s="74"/>
      <c r="MF41" s="74"/>
      <c r="MG41" s="74"/>
      <c r="MH41" s="74"/>
      <c r="MI41" s="74"/>
      <c r="MJ41" s="74"/>
      <c r="MK41" s="74"/>
      <c r="ML41" s="74"/>
      <c r="MM41" s="74"/>
      <c r="MN41" s="74"/>
      <c r="MO41" s="74"/>
      <c r="MP41" s="74"/>
      <c r="MQ41" s="74"/>
      <c r="MR41" s="74"/>
      <c r="MS41" s="74"/>
      <c r="MT41" s="74"/>
    </row>
    <row r="42" spans="1:358" s="13" customFormat="1" ht="14" thickBot="1">
      <c r="A42" s="74"/>
      <c r="B42" s="5" t="s">
        <v>42</v>
      </c>
      <c r="C42" s="6" t="s">
        <v>74</v>
      </c>
      <c r="D42" s="7">
        <v>2016</v>
      </c>
      <c r="E42" s="8">
        <f>D42 +1</f>
        <v>2017</v>
      </c>
      <c r="F42" s="8">
        <f t="shared" ref="F42:AH42" si="4">E42 +1</f>
        <v>2018</v>
      </c>
      <c r="G42" s="8">
        <f t="shared" si="4"/>
        <v>2019</v>
      </c>
      <c r="H42" s="8">
        <f t="shared" si="4"/>
        <v>2020</v>
      </c>
      <c r="I42" s="8">
        <f t="shared" si="4"/>
        <v>2021</v>
      </c>
      <c r="J42" s="8">
        <f t="shared" si="4"/>
        <v>2022</v>
      </c>
      <c r="K42" s="8">
        <f t="shared" si="4"/>
        <v>2023</v>
      </c>
      <c r="L42" s="8">
        <f t="shared" si="4"/>
        <v>2024</v>
      </c>
      <c r="M42" s="8">
        <f t="shared" si="4"/>
        <v>2025</v>
      </c>
      <c r="N42" s="8">
        <f t="shared" si="4"/>
        <v>2026</v>
      </c>
      <c r="O42" s="8">
        <f t="shared" si="4"/>
        <v>2027</v>
      </c>
      <c r="P42" s="8">
        <f t="shared" si="4"/>
        <v>2028</v>
      </c>
      <c r="Q42" s="8">
        <f t="shared" si="4"/>
        <v>2029</v>
      </c>
      <c r="R42" s="8">
        <f t="shared" si="4"/>
        <v>2030</v>
      </c>
      <c r="S42" s="8">
        <f t="shared" si="4"/>
        <v>2031</v>
      </c>
      <c r="T42" s="8">
        <f t="shared" si="4"/>
        <v>2032</v>
      </c>
      <c r="U42" s="8">
        <f t="shared" si="4"/>
        <v>2033</v>
      </c>
      <c r="V42" s="8">
        <f t="shared" si="4"/>
        <v>2034</v>
      </c>
      <c r="W42" s="8">
        <f t="shared" si="4"/>
        <v>2035</v>
      </c>
      <c r="X42" s="8">
        <f t="shared" si="4"/>
        <v>2036</v>
      </c>
      <c r="Y42" s="8">
        <f t="shared" si="4"/>
        <v>2037</v>
      </c>
      <c r="Z42" s="8">
        <f t="shared" si="4"/>
        <v>2038</v>
      </c>
      <c r="AA42" s="8">
        <f t="shared" si="4"/>
        <v>2039</v>
      </c>
      <c r="AB42" s="8">
        <f t="shared" si="4"/>
        <v>2040</v>
      </c>
      <c r="AC42" s="8">
        <f t="shared" si="4"/>
        <v>2041</v>
      </c>
      <c r="AD42" s="8">
        <f t="shared" si="4"/>
        <v>2042</v>
      </c>
      <c r="AE42" s="8">
        <f t="shared" si="4"/>
        <v>2043</v>
      </c>
      <c r="AF42" s="8">
        <f t="shared" si="4"/>
        <v>2044</v>
      </c>
      <c r="AG42" s="8">
        <f t="shared" si="4"/>
        <v>2045</v>
      </c>
      <c r="AH42" s="9">
        <f t="shared" si="4"/>
        <v>2046</v>
      </c>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c r="IN42" s="74"/>
      <c r="IO42" s="74"/>
      <c r="IP42" s="74"/>
      <c r="IQ42" s="74"/>
      <c r="IR42" s="74"/>
      <c r="IS42" s="74"/>
      <c r="IT42" s="74"/>
      <c r="IU42" s="74"/>
      <c r="IV42" s="74"/>
      <c r="IW42" s="74"/>
      <c r="IX42" s="74"/>
      <c r="IY42" s="74"/>
      <c r="IZ42" s="74"/>
      <c r="JA42" s="74"/>
      <c r="JB42" s="74"/>
      <c r="JC42" s="74"/>
      <c r="JD42" s="74"/>
      <c r="JE42" s="74"/>
      <c r="JF42" s="74"/>
      <c r="JG42" s="74"/>
      <c r="JH42" s="74"/>
      <c r="JI42" s="74"/>
      <c r="JJ42" s="74"/>
      <c r="JK42" s="74"/>
      <c r="JL42" s="74"/>
      <c r="JM42" s="74"/>
      <c r="JN42" s="74"/>
      <c r="JO42" s="74"/>
      <c r="JP42" s="74"/>
      <c r="JQ42" s="74"/>
      <c r="JR42" s="74"/>
      <c r="JS42" s="74"/>
      <c r="JT42" s="74"/>
      <c r="JU42" s="74"/>
      <c r="JV42" s="74"/>
      <c r="JW42" s="74"/>
      <c r="JX42" s="74"/>
      <c r="JY42" s="74"/>
      <c r="JZ42" s="74"/>
      <c r="KA42" s="74"/>
      <c r="KB42" s="74"/>
      <c r="KC42" s="74"/>
      <c r="KD42" s="74"/>
      <c r="KE42" s="74"/>
      <c r="KF42" s="74"/>
      <c r="KG42" s="74"/>
      <c r="KH42" s="74"/>
      <c r="KI42" s="74"/>
      <c r="KJ42" s="74"/>
      <c r="KK42" s="74"/>
      <c r="KL42" s="74"/>
      <c r="KM42" s="74"/>
      <c r="KN42" s="74"/>
      <c r="KO42" s="74"/>
      <c r="KP42" s="74"/>
      <c r="KQ42" s="74"/>
      <c r="KR42" s="74"/>
      <c r="KS42" s="74"/>
      <c r="KT42" s="74"/>
      <c r="KU42" s="74"/>
      <c r="KV42" s="74"/>
      <c r="KW42" s="74"/>
      <c r="KX42" s="74"/>
      <c r="KY42" s="74"/>
      <c r="KZ42" s="74"/>
      <c r="LA42" s="74"/>
      <c r="LB42" s="74"/>
      <c r="LC42" s="74"/>
      <c r="LD42" s="74"/>
      <c r="LE42" s="74"/>
      <c r="LF42" s="74"/>
      <c r="LG42" s="74"/>
      <c r="LH42" s="74"/>
      <c r="LI42" s="74"/>
      <c r="LJ42" s="74"/>
      <c r="LK42" s="74"/>
      <c r="LL42" s="74"/>
      <c r="LM42" s="74"/>
      <c r="LN42" s="74"/>
      <c r="LO42" s="74"/>
      <c r="LP42" s="74"/>
      <c r="LQ42" s="74"/>
      <c r="LR42" s="74"/>
      <c r="LS42" s="74"/>
      <c r="LT42" s="74"/>
      <c r="LU42" s="74"/>
      <c r="LV42" s="74"/>
      <c r="LW42" s="74"/>
      <c r="LX42" s="74"/>
      <c r="LY42" s="74"/>
      <c r="LZ42" s="74"/>
      <c r="MA42" s="74"/>
      <c r="MB42" s="74"/>
      <c r="MC42" s="74"/>
      <c r="MD42" s="74"/>
      <c r="ME42" s="74"/>
      <c r="MF42" s="74"/>
      <c r="MG42" s="74"/>
      <c r="MH42" s="74"/>
      <c r="MI42" s="74"/>
      <c r="MJ42" s="74"/>
      <c r="MK42" s="74"/>
      <c r="ML42" s="74"/>
      <c r="MM42" s="74"/>
      <c r="MN42" s="74"/>
      <c r="MO42" s="74"/>
      <c r="MP42" s="74"/>
      <c r="MQ42" s="74"/>
      <c r="MR42" s="74"/>
      <c r="MS42" s="74"/>
      <c r="MT42" s="74"/>
    </row>
    <row r="43" spans="1:358" s="13" customFormat="1">
      <c r="A43" s="74"/>
      <c r="B43" s="213">
        <f>B8</f>
        <v>1</v>
      </c>
      <c r="C43" s="213" t="str">
        <f>C8</f>
        <v>Fringe</v>
      </c>
      <c r="D43" s="215"/>
      <c r="E43" s="217">
        <f>(E8-D8)/5</f>
        <v>158.19999999999999</v>
      </c>
      <c r="F43" s="216">
        <v>158.19999999999999</v>
      </c>
      <c r="G43" s="216">
        <v>158.19999999999999</v>
      </c>
      <c r="H43" s="216">
        <v>158.19999999999999</v>
      </c>
      <c r="I43" s="216">
        <v>158.19999999999999</v>
      </c>
      <c r="J43" s="217">
        <f>(F8-E8)/5</f>
        <v>108.6</v>
      </c>
      <c r="K43" s="216">
        <v>108.6</v>
      </c>
      <c r="L43" s="216">
        <v>108.6</v>
      </c>
      <c r="M43" s="216">
        <v>108.6</v>
      </c>
      <c r="N43" s="216">
        <v>108.6</v>
      </c>
      <c r="O43" s="217"/>
      <c r="P43" s="217"/>
      <c r="Q43" s="217"/>
      <c r="R43" s="217"/>
      <c r="S43" s="217"/>
      <c r="T43" s="216"/>
      <c r="U43" s="216"/>
      <c r="V43" s="216"/>
      <c r="W43" s="216"/>
      <c r="X43" s="216"/>
      <c r="Y43" s="216"/>
      <c r="Z43" s="216"/>
      <c r="AA43" s="216"/>
      <c r="AB43" s="216"/>
      <c r="AC43" s="216"/>
      <c r="AD43" s="216"/>
      <c r="AE43" s="216"/>
      <c r="AF43" s="216"/>
      <c r="AG43" s="216"/>
      <c r="AH43" s="218"/>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74"/>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74"/>
      <c r="FK43" s="74"/>
      <c r="FL43" s="74"/>
      <c r="FM43" s="74"/>
      <c r="FN43" s="74"/>
      <c r="FO43" s="74"/>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c r="GP43" s="74"/>
      <c r="GQ43" s="74"/>
      <c r="GR43" s="74"/>
      <c r="GS43" s="74"/>
      <c r="GT43" s="74"/>
      <c r="GU43" s="74"/>
      <c r="GV43" s="74"/>
      <c r="GW43" s="74"/>
      <c r="GX43" s="74"/>
      <c r="GY43" s="74"/>
      <c r="GZ43" s="74"/>
      <c r="HA43" s="74"/>
      <c r="HB43" s="74"/>
      <c r="HC43" s="74"/>
      <c r="HD43" s="74"/>
      <c r="HE43" s="74"/>
      <c r="HF43" s="74"/>
      <c r="HG43" s="74"/>
      <c r="HH43" s="74"/>
      <c r="HI43" s="74"/>
      <c r="HJ43" s="74"/>
      <c r="HK43" s="74"/>
      <c r="HL43" s="74"/>
      <c r="HM43" s="74"/>
      <c r="HN43" s="74"/>
      <c r="HO43" s="74"/>
      <c r="HP43" s="74"/>
      <c r="HQ43" s="74"/>
      <c r="HR43" s="74"/>
      <c r="HS43" s="74"/>
      <c r="HT43" s="74"/>
      <c r="HU43" s="74"/>
      <c r="HV43" s="74"/>
      <c r="HW43" s="74"/>
      <c r="HX43" s="74"/>
      <c r="HY43" s="74"/>
      <c r="HZ43" s="74"/>
      <c r="IA43" s="74"/>
      <c r="IB43" s="74"/>
      <c r="IC43" s="74"/>
      <c r="ID43" s="74"/>
      <c r="IE43" s="74"/>
      <c r="IF43" s="74"/>
      <c r="IG43" s="74"/>
      <c r="IH43" s="74"/>
      <c r="II43" s="74"/>
      <c r="IJ43" s="74"/>
      <c r="IK43" s="74"/>
      <c r="IL43" s="74"/>
      <c r="IM43" s="74"/>
      <c r="IN43" s="74"/>
      <c r="IO43" s="74"/>
      <c r="IP43" s="74"/>
      <c r="IQ43" s="74"/>
      <c r="IR43" s="74"/>
      <c r="IS43" s="74"/>
      <c r="IT43" s="74"/>
      <c r="IU43" s="74"/>
      <c r="IV43" s="74"/>
      <c r="IW43" s="74"/>
      <c r="IX43" s="74"/>
      <c r="IY43" s="74"/>
      <c r="IZ43" s="74"/>
      <c r="JA43" s="74"/>
      <c r="JB43" s="74"/>
      <c r="JC43" s="74"/>
      <c r="JD43" s="74"/>
      <c r="JE43" s="74"/>
      <c r="JF43" s="74"/>
      <c r="JG43" s="74"/>
      <c r="JH43" s="74"/>
      <c r="JI43" s="74"/>
      <c r="JJ43" s="74"/>
      <c r="JK43" s="74"/>
      <c r="JL43" s="74"/>
      <c r="JM43" s="74"/>
      <c r="JN43" s="74"/>
      <c r="JO43" s="74"/>
      <c r="JP43" s="74"/>
      <c r="JQ43" s="74"/>
      <c r="JR43" s="74"/>
      <c r="JS43" s="74"/>
      <c r="JT43" s="74"/>
      <c r="JU43" s="74"/>
      <c r="JV43" s="74"/>
      <c r="JW43" s="74"/>
      <c r="JX43" s="74"/>
      <c r="JY43" s="74"/>
      <c r="JZ43" s="74"/>
      <c r="KA43" s="74"/>
      <c r="KB43" s="74"/>
      <c r="KC43" s="74"/>
      <c r="KD43" s="74"/>
      <c r="KE43" s="74"/>
      <c r="KF43" s="74"/>
      <c r="KG43" s="74"/>
      <c r="KH43" s="74"/>
      <c r="KI43" s="74"/>
      <c r="KJ43" s="74"/>
      <c r="KK43" s="74"/>
      <c r="KL43" s="74"/>
      <c r="KM43" s="74"/>
      <c r="KN43" s="74"/>
      <c r="KO43" s="74"/>
      <c r="KP43" s="74"/>
      <c r="KQ43" s="74"/>
      <c r="KR43" s="74"/>
      <c r="KS43" s="74"/>
      <c r="KT43" s="74"/>
      <c r="KU43" s="74"/>
      <c r="KV43" s="74"/>
      <c r="KW43" s="74"/>
      <c r="KX43" s="74"/>
      <c r="KY43" s="74"/>
      <c r="KZ43" s="74"/>
      <c r="LA43" s="74"/>
      <c r="LB43" s="74"/>
      <c r="LC43" s="74"/>
      <c r="LD43" s="74"/>
      <c r="LE43" s="74"/>
      <c r="LF43" s="74"/>
      <c r="LG43" s="74"/>
      <c r="LH43" s="74"/>
      <c r="LI43" s="74"/>
      <c r="LJ43" s="74"/>
      <c r="LK43" s="74"/>
      <c r="LL43" s="74"/>
      <c r="LM43" s="74"/>
      <c r="LN43" s="74"/>
      <c r="LO43" s="74"/>
      <c r="LP43" s="74"/>
      <c r="LQ43" s="74"/>
      <c r="LR43" s="74"/>
      <c r="LS43" s="74"/>
      <c r="LT43" s="74"/>
      <c r="LU43" s="74"/>
      <c r="LV43" s="74"/>
      <c r="LW43" s="74"/>
      <c r="LX43" s="74"/>
      <c r="LY43" s="74"/>
      <c r="LZ43" s="74"/>
      <c r="MA43" s="74"/>
      <c r="MB43" s="74"/>
      <c r="MC43" s="74"/>
      <c r="MD43" s="74"/>
      <c r="ME43" s="74"/>
      <c r="MF43" s="74"/>
      <c r="MG43" s="74"/>
      <c r="MH43" s="74"/>
      <c r="MI43" s="74"/>
      <c r="MJ43" s="74"/>
      <c r="MK43" s="74"/>
      <c r="ML43" s="74"/>
      <c r="MM43" s="74"/>
      <c r="MN43" s="74"/>
      <c r="MO43" s="74"/>
      <c r="MP43" s="74"/>
      <c r="MQ43" s="74"/>
      <c r="MR43" s="74"/>
      <c r="MS43" s="74"/>
      <c r="MT43" s="74"/>
    </row>
    <row r="44" spans="1:358" s="13" customFormat="1">
      <c r="A44" s="74"/>
      <c r="B44" s="214">
        <f t="shared" ref="B44:C47" si="5">B9</f>
        <v>2</v>
      </c>
      <c r="C44" s="214" t="str">
        <f t="shared" si="5"/>
        <v>Urban East</v>
      </c>
      <c r="D44" s="219"/>
      <c r="E44" s="217">
        <f t="shared" ref="E44:E47" si="6">(E9-D9)/5</f>
        <v>1736.6</v>
      </c>
      <c r="F44" s="217">
        <v>1736.6</v>
      </c>
      <c r="G44" s="217">
        <v>1736.6</v>
      </c>
      <c r="H44" s="217">
        <v>1736.6</v>
      </c>
      <c r="I44" s="217">
        <v>1736.6</v>
      </c>
      <c r="J44" s="217">
        <f t="shared" ref="J44:J47" si="7">(F9-E9)/5</f>
        <v>2601.6</v>
      </c>
      <c r="K44" s="217">
        <v>2601.6</v>
      </c>
      <c r="L44" s="217">
        <v>2601.6</v>
      </c>
      <c r="M44" s="217">
        <v>2601.6</v>
      </c>
      <c r="N44" s="217">
        <v>2601.6</v>
      </c>
      <c r="O44" s="217"/>
      <c r="P44" s="217"/>
      <c r="Q44" s="217"/>
      <c r="R44" s="217"/>
      <c r="S44" s="217"/>
      <c r="T44" s="217"/>
      <c r="U44" s="217"/>
      <c r="V44" s="217"/>
      <c r="W44" s="217"/>
      <c r="X44" s="217"/>
      <c r="Y44" s="217"/>
      <c r="Z44" s="217"/>
      <c r="AA44" s="217"/>
      <c r="AB44" s="217"/>
      <c r="AC44" s="217"/>
      <c r="AD44" s="217"/>
      <c r="AE44" s="217"/>
      <c r="AF44" s="217"/>
      <c r="AG44" s="217"/>
      <c r="AH44" s="220"/>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c r="CM44" s="74"/>
      <c r="CN44" s="74"/>
      <c r="CO44" s="74"/>
      <c r="CP44" s="74"/>
      <c r="CQ44" s="74"/>
      <c r="CR44" s="74"/>
      <c r="CS44" s="74"/>
      <c r="CT44" s="74"/>
      <c r="CU44" s="74"/>
      <c r="CV44" s="74"/>
      <c r="CW44" s="74"/>
      <c r="CX44" s="74"/>
      <c r="CY44" s="74"/>
      <c r="CZ44" s="74"/>
      <c r="DA44" s="74"/>
      <c r="DB44" s="74"/>
      <c r="DC44" s="74"/>
      <c r="DD44" s="74"/>
      <c r="DE44" s="74"/>
      <c r="DF44" s="74"/>
      <c r="DG44" s="74"/>
      <c r="DH44" s="74"/>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c r="GP44" s="74"/>
      <c r="GQ44" s="74"/>
      <c r="GR44" s="74"/>
      <c r="GS44" s="74"/>
      <c r="GT44" s="74"/>
      <c r="GU44" s="74"/>
      <c r="GV44" s="74"/>
      <c r="GW44" s="74"/>
      <c r="GX44" s="74"/>
      <c r="GY44" s="74"/>
      <c r="GZ44" s="74"/>
      <c r="HA44" s="74"/>
      <c r="HB44" s="74"/>
      <c r="HC44" s="74"/>
      <c r="HD44" s="74"/>
      <c r="HE44" s="74"/>
      <c r="HF44" s="74"/>
      <c r="HG44" s="74"/>
      <c r="HH44" s="74"/>
      <c r="HI44" s="74"/>
      <c r="HJ44" s="74"/>
      <c r="HK44" s="74"/>
      <c r="HL44" s="74"/>
      <c r="HM44" s="74"/>
      <c r="HN44" s="74"/>
      <c r="HO44" s="74"/>
      <c r="HP44" s="74"/>
      <c r="HQ44" s="74"/>
      <c r="HR44" s="74"/>
      <c r="HS44" s="74"/>
      <c r="HT44" s="74"/>
      <c r="HU44" s="74"/>
      <c r="HV44" s="74"/>
      <c r="HW44" s="74"/>
      <c r="HX44" s="74"/>
      <c r="HY44" s="74"/>
      <c r="HZ44" s="74"/>
      <c r="IA44" s="74"/>
      <c r="IB44" s="74"/>
      <c r="IC44" s="74"/>
      <c r="ID44" s="74"/>
      <c r="IE44" s="74"/>
      <c r="IF44" s="74"/>
      <c r="IG44" s="74"/>
      <c r="IH44" s="74"/>
      <c r="II44" s="74"/>
      <c r="IJ44" s="74"/>
      <c r="IK44" s="74"/>
      <c r="IL44" s="74"/>
      <c r="IM44" s="74"/>
      <c r="IN44" s="74"/>
      <c r="IO44" s="74"/>
      <c r="IP44" s="74"/>
      <c r="IQ44" s="74"/>
      <c r="IR44" s="74"/>
      <c r="IS44" s="74"/>
      <c r="IT44" s="74"/>
      <c r="IU44" s="74"/>
      <c r="IV44" s="74"/>
      <c r="IW44" s="74"/>
      <c r="IX44" s="74"/>
      <c r="IY44" s="74"/>
      <c r="IZ44" s="74"/>
      <c r="JA44" s="74"/>
      <c r="JB44" s="74"/>
      <c r="JC44" s="74"/>
      <c r="JD44" s="74"/>
      <c r="JE44" s="74"/>
      <c r="JF44" s="74"/>
      <c r="JG44" s="74"/>
      <c r="JH44" s="74"/>
      <c r="JI44" s="74"/>
      <c r="JJ44" s="74"/>
      <c r="JK44" s="74"/>
      <c r="JL44" s="74"/>
      <c r="JM44" s="74"/>
      <c r="JN44" s="74"/>
      <c r="JO44" s="74"/>
      <c r="JP44" s="74"/>
      <c r="JQ44" s="74"/>
      <c r="JR44" s="74"/>
      <c r="JS44" s="74"/>
      <c r="JT44" s="74"/>
      <c r="JU44" s="74"/>
      <c r="JV44" s="74"/>
      <c r="JW44" s="74"/>
      <c r="JX44" s="74"/>
      <c r="JY44" s="74"/>
      <c r="JZ44" s="74"/>
      <c r="KA44" s="74"/>
      <c r="KB44" s="74"/>
      <c r="KC44" s="74"/>
      <c r="KD44" s="74"/>
      <c r="KE44" s="74"/>
      <c r="KF44" s="74"/>
      <c r="KG44" s="74"/>
      <c r="KH44" s="74"/>
      <c r="KI44" s="74"/>
      <c r="KJ44" s="74"/>
      <c r="KK44" s="74"/>
      <c r="KL44" s="74"/>
      <c r="KM44" s="74"/>
      <c r="KN44" s="74"/>
      <c r="KO44" s="74"/>
      <c r="KP44" s="74"/>
      <c r="KQ44" s="74"/>
      <c r="KR44" s="74"/>
      <c r="KS44" s="74"/>
      <c r="KT44" s="74"/>
      <c r="KU44" s="74"/>
      <c r="KV44" s="74"/>
      <c r="KW44" s="74"/>
      <c r="KX44" s="74"/>
      <c r="KY44" s="74"/>
      <c r="KZ44" s="74"/>
      <c r="LA44" s="74"/>
      <c r="LB44" s="74"/>
      <c r="LC44" s="74"/>
      <c r="LD44" s="74"/>
      <c r="LE44" s="74"/>
      <c r="LF44" s="74"/>
      <c r="LG44" s="74"/>
      <c r="LH44" s="74"/>
      <c r="LI44" s="74"/>
      <c r="LJ44" s="74"/>
      <c r="LK44" s="74"/>
      <c r="LL44" s="74"/>
      <c r="LM44" s="74"/>
      <c r="LN44" s="74"/>
      <c r="LO44" s="74"/>
      <c r="LP44" s="74"/>
      <c r="LQ44" s="74"/>
      <c r="LR44" s="74"/>
      <c r="LS44" s="74"/>
      <c r="LT44" s="74"/>
      <c r="LU44" s="74"/>
      <c r="LV44" s="74"/>
      <c r="LW44" s="74"/>
      <c r="LX44" s="74"/>
      <c r="LY44" s="74"/>
      <c r="LZ44" s="74"/>
      <c r="MA44" s="74"/>
      <c r="MB44" s="74"/>
      <c r="MC44" s="74"/>
      <c r="MD44" s="74"/>
      <c r="ME44" s="74"/>
      <c r="MF44" s="74"/>
      <c r="MG44" s="74"/>
      <c r="MH44" s="74"/>
      <c r="MI44" s="74"/>
      <c r="MJ44" s="74"/>
      <c r="MK44" s="74"/>
      <c r="ML44" s="74"/>
      <c r="MM44" s="74"/>
      <c r="MN44" s="74"/>
      <c r="MO44" s="74"/>
      <c r="MP44" s="74"/>
      <c r="MQ44" s="74"/>
      <c r="MR44" s="74"/>
      <c r="MS44" s="74"/>
      <c r="MT44" s="74"/>
    </row>
    <row r="45" spans="1:358" s="13" customFormat="1">
      <c r="A45" s="74"/>
      <c r="B45" s="214">
        <f t="shared" si="5"/>
        <v>3</v>
      </c>
      <c r="C45" s="214" t="str">
        <f t="shared" si="5"/>
        <v>Urban North</v>
      </c>
      <c r="D45" s="219"/>
      <c r="E45" s="217">
        <f t="shared" si="6"/>
        <v>5090.2</v>
      </c>
      <c r="F45" s="217">
        <v>5090.2</v>
      </c>
      <c r="G45" s="217">
        <v>5090.2</v>
      </c>
      <c r="H45" s="217">
        <v>5090.2</v>
      </c>
      <c r="I45" s="217">
        <v>5090.2</v>
      </c>
      <c r="J45" s="217">
        <f t="shared" si="7"/>
        <v>4671.2</v>
      </c>
      <c r="K45" s="217">
        <v>4671.2</v>
      </c>
      <c r="L45" s="217">
        <v>4671.2</v>
      </c>
      <c r="M45" s="217">
        <v>4671.2</v>
      </c>
      <c r="N45" s="217">
        <v>4671.2</v>
      </c>
      <c r="O45" s="217"/>
      <c r="P45" s="217"/>
      <c r="Q45" s="217"/>
      <c r="R45" s="217"/>
      <c r="S45" s="217"/>
      <c r="T45" s="217"/>
      <c r="U45" s="217"/>
      <c r="V45" s="217"/>
      <c r="W45" s="217"/>
      <c r="X45" s="217"/>
      <c r="Y45" s="217"/>
      <c r="Z45" s="217"/>
      <c r="AA45" s="217"/>
      <c r="AB45" s="217"/>
      <c r="AC45" s="217"/>
      <c r="AD45" s="217"/>
      <c r="AE45" s="217"/>
      <c r="AF45" s="217"/>
      <c r="AG45" s="217"/>
      <c r="AH45" s="220"/>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74"/>
      <c r="FG45" s="74"/>
      <c r="FH45" s="74"/>
      <c r="FI45" s="74"/>
      <c r="FJ45" s="74"/>
      <c r="FK45" s="74"/>
      <c r="FL45" s="74"/>
      <c r="FM45" s="74"/>
      <c r="FN45" s="74"/>
      <c r="FO45" s="74"/>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c r="GP45" s="74"/>
      <c r="GQ45" s="74"/>
      <c r="GR45" s="74"/>
      <c r="GS45" s="74"/>
      <c r="GT45" s="74"/>
      <c r="GU45" s="74"/>
      <c r="GV45" s="74"/>
      <c r="GW45" s="74"/>
      <c r="GX45" s="74"/>
      <c r="GY45" s="74"/>
      <c r="GZ45" s="74"/>
      <c r="HA45" s="74"/>
      <c r="HB45" s="74"/>
      <c r="HC45" s="74"/>
      <c r="HD45" s="74"/>
      <c r="HE45" s="74"/>
      <c r="HF45" s="74"/>
      <c r="HG45" s="74"/>
      <c r="HH45" s="74"/>
      <c r="HI45" s="74"/>
      <c r="HJ45" s="74"/>
      <c r="HK45" s="74"/>
      <c r="HL45" s="74"/>
      <c r="HM45" s="74"/>
      <c r="HN45" s="74"/>
      <c r="HO45" s="74"/>
      <c r="HP45" s="74"/>
      <c r="HQ45" s="74"/>
      <c r="HR45" s="74"/>
      <c r="HS45" s="74"/>
      <c r="HT45" s="74"/>
      <c r="HU45" s="74"/>
      <c r="HV45" s="74"/>
      <c r="HW45" s="74"/>
      <c r="HX45" s="74"/>
      <c r="HY45" s="74"/>
      <c r="HZ45" s="74"/>
      <c r="IA45" s="74"/>
      <c r="IB45" s="74"/>
      <c r="IC45" s="74"/>
      <c r="ID45" s="74"/>
      <c r="IE45" s="74"/>
      <c r="IF45" s="74"/>
      <c r="IG45" s="74"/>
      <c r="IH45" s="74"/>
      <c r="II45" s="74"/>
      <c r="IJ45" s="74"/>
      <c r="IK45" s="74"/>
      <c r="IL45" s="74"/>
      <c r="IM45" s="74"/>
      <c r="IN45" s="74"/>
      <c r="IO45" s="74"/>
      <c r="IP45" s="74"/>
      <c r="IQ45" s="74"/>
      <c r="IR45" s="74"/>
      <c r="IS45" s="74"/>
      <c r="IT45" s="74"/>
      <c r="IU45" s="74"/>
      <c r="IV45" s="74"/>
      <c r="IW45" s="74"/>
      <c r="IX45" s="74"/>
      <c r="IY45" s="74"/>
      <c r="IZ45" s="74"/>
      <c r="JA45" s="74"/>
      <c r="JB45" s="74"/>
      <c r="JC45" s="74"/>
      <c r="JD45" s="74"/>
      <c r="JE45" s="74"/>
      <c r="JF45" s="74"/>
      <c r="JG45" s="74"/>
      <c r="JH45" s="74"/>
      <c r="JI45" s="74"/>
      <c r="JJ45" s="74"/>
      <c r="JK45" s="74"/>
      <c r="JL45" s="74"/>
      <c r="JM45" s="74"/>
      <c r="JN45" s="74"/>
      <c r="JO45" s="74"/>
      <c r="JP45" s="74"/>
      <c r="JQ45" s="74"/>
      <c r="JR45" s="74"/>
      <c r="JS45" s="74"/>
      <c r="JT45" s="74"/>
      <c r="JU45" s="74"/>
      <c r="JV45" s="74"/>
      <c r="JW45" s="74"/>
      <c r="JX45" s="74"/>
      <c r="JY45" s="74"/>
      <c r="JZ45" s="74"/>
      <c r="KA45" s="74"/>
      <c r="KB45" s="74"/>
      <c r="KC45" s="74"/>
      <c r="KD45" s="74"/>
      <c r="KE45" s="74"/>
      <c r="KF45" s="74"/>
      <c r="KG45" s="74"/>
      <c r="KH45" s="74"/>
      <c r="KI45" s="74"/>
      <c r="KJ45" s="74"/>
      <c r="KK45" s="74"/>
      <c r="KL45" s="74"/>
      <c r="KM45" s="74"/>
      <c r="KN45" s="74"/>
      <c r="KO45" s="74"/>
      <c r="KP45" s="74"/>
      <c r="KQ45" s="74"/>
      <c r="KR45" s="74"/>
      <c r="KS45" s="74"/>
      <c r="KT45" s="74"/>
      <c r="KU45" s="74"/>
      <c r="KV45" s="74"/>
      <c r="KW45" s="74"/>
      <c r="KX45" s="74"/>
      <c r="KY45" s="74"/>
      <c r="KZ45" s="74"/>
      <c r="LA45" s="74"/>
      <c r="LB45" s="74"/>
      <c r="LC45" s="74"/>
      <c r="LD45" s="74"/>
      <c r="LE45" s="74"/>
      <c r="LF45" s="74"/>
      <c r="LG45" s="74"/>
      <c r="LH45" s="74"/>
      <c r="LI45" s="74"/>
      <c r="LJ45" s="74"/>
      <c r="LK45" s="74"/>
      <c r="LL45" s="74"/>
      <c r="LM45" s="74"/>
      <c r="LN45" s="74"/>
      <c r="LO45" s="74"/>
      <c r="LP45" s="74"/>
      <c r="LQ45" s="74"/>
      <c r="LR45" s="74"/>
      <c r="LS45" s="74"/>
      <c r="LT45" s="74"/>
      <c r="LU45" s="74"/>
      <c r="LV45" s="74"/>
      <c r="LW45" s="74"/>
      <c r="LX45" s="74"/>
      <c r="LY45" s="74"/>
      <c r="LZ45" s="74"/>
      <c r="MA45" s="74"/>
      <c r="MB45" s="74"/>
      <c r="MC45" s="74"/>
      <c r="MD45" s="74"/>
      <c r="ME45" s="74"/>
      <c r="MF45" s="74"/>
      <c r="MG45" s="74"/>
      <c r="MH45" s="74"/>
      <c r="MI45" s="74"/>
      <c r="MJ45" s="74"/>
      <c r="MK45" s="74"/>
      <c r="ML45" s="74"/>
      <c r="MM45" s="74"/>
      <c r="MN45" s="74"/>
      <c r="MO45" s="74"/>
      <c r="MP45" s="74"/>
      <c r="MQ45" s="74"/>
      <c r="MR45" s="74"/>
      <c r="MS45" s="74"/>
      <c r="MT45" s="74"/>
    </row>
    <row r="46" spans="1:358" s="13" customFormat="1">
      <c r="A46" s="74"/>
      <c r="B46" s="214">
        <f t="shared" si="5"/>
        <v>4</v>
      </c>
      <c r="C46" s="214" t="str">
        <f t="shared" si="5"/>
        <v>Urban South</v>
      </c>
      <c r="D46" s="219"/>
      <c r="E46" s="217">
        <f t="shared" si="6"/>
        <v>5115.3999999999996</v>
      </c>
      <c r="F46" s="217">
        <v>5115.3999999999996</v>
      </c>
      <c r="G46" s="217">
        <v>5115.3999999999996</v>
      </c>
      <c r="H46" s="217">
        <v>5115.3999999999996</v>
      </c>
      <c r="I46" s="217">
        <v>5115.3999999999996</v>
      </c>
      <c r="J46" s="217">
        <f t="shared" si="7"/>
        <v>4145.3999999999996</v>
      </c>
      <c r="K46" s="217">
        <v>4145.3999999999996</v>
      </c>
      <c r="L46" s="217">
        <v>4145.3999999999996</v>
      </c>
      <c r="M46" s="217">
        <v>4145.3999999999996</v>
      </c>
      <c r="N46" s="217">
        <v>4145.3999999999996</v>
      </c>
      <c r="O46" s="217"/>
      <c r="P46" s="217"/>
      <c r="Q46" s="217"/>
      <c r="R46" s="217"/>
      <c r="S46" s="217"/>
      <c r="T46" s="217"/>
      <c r="U46" s="217"/>
      <c r="V46" s="217"/>
      <c r="W46" s="217"/>
      <c r="X46" s="217"/>
      <c r="Y46" s="217"/>
      <c r="Z46" s="217"/>
      <c r="AA46" s="217"/>
      <c r="AB46" s="217"/>
      <c r="AC46" s="217"/>
      <c r="AD46" s="217"/>
      <c r="AE46" s="217"/>
      <c r="AF46" s="217"/>
      <c r="AG46" s="217"/>
      <c r="AH46" s="220"/>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74"/>
      <c r="FG46" s="74"/>
      <c r="FH46" s="74"/>
      <c r="FI46" s="74"/>
      <c r="FJ46" s="74"/>
      <c r="FK46" s="74"/>
      <c r="FL46" s="74"/>
      <c r="FM46" s="74"/>
      <c r="FN46" s="74"/>
      <c r="FO46" s="74"/>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c r="GP46" s="74"/>
      <c r="GQ46" s="74"/>
      <c r="GR46" s="74"/>
      <c r="GS46" s="74"/>
      <c r="GT46" s="74"/>
      <c r="GU46" s="74"/>
      <c r="GV46" s="74"/>
      <c r="GW46" s="74"/>
      <c r="GX46" s="74"/>
      <c r="GY46" s="74"/>
      <c r="GZ46" s="74"/>
      <c r="HA46" s="74"/>
      <c r="HB46" s="74"/>
      <c r="HC46" s="74"/>
      <c r="HD46" s="74"/>
      <c r="HE46" s="74"/>
      <c r="HF46" s="74"/>
      <c r="HG46" s="74"/>
      <c r="HH46" s="74"/>
      <c r="HI46" s="74"/>
      <c r="HJ46" s="74"/>
      <c r="HK46" s="74"/>
      <c r="HL46" s="74"/>
      <c r="HM46" s="74"/>
      <c r="HN46" s="74"/>
      <c r="HO46" s="74"/>
      <c r="HP46" s="74"/>
      <c r="HQ46" s="74"/>
      <c r="HR46" s="74"/>
      <c r="HS46" s="74"/>
      <c r="HT46" s="74"/>
      <c r="HU46" s="74"/>
      <c r="HV46" s="74"/>
      <c r="HW46" s="74"/>
      <c r="HX46" s="74"/>
      <c r="HY46" s="74"/>
      <c r="HZ46" s="74"/>
      <c r="IA46" s="74"/>
      <c r="IB46" s="74"/>
      <c r="IC46" s="74"/>
      <c r="ID46" s="74"/>
      <c r="IE46" s="74"/>
      <c r="IF46" s="74"/>
      <c r="IG46" s="74"/>
      <c r="IH46" s="74"/>
      <c r="II46" s="74"/>
      <c r="IJ46" s="74"/>
      <c r="IK46" s="74"/>
      <c r="IL46" s="74"/>
      <c r="IM46" s="74"/>
      <c r="IN46" s="74"/>
      <c r="IO46" s="74"/>
      <c r="IP46" s="74"/>
      <c r="IQ46" s="74"/>
      <c r="IR46" s="74"/>
      <c r="IS46" s="74"/>
      <c r="IT46" s="74"/>
      <c r="IU46" s="74"/>
      <c r="IV46" s="74"/>
      <c r="IW46" s="74"/>
      <c r="IX46" s="74"/>
      <c r="IY46" s="74"/>
      <c r="IZ46" s="74"/>
      <c r="JA46" s="74"/>
      <c r="JB46" s="74"/>
      <c r="JC46" s="74"/>
      <c r="JD46" s="74"/>
      <c r="JE46" s="74"/>
      <c r="JF46" s="74"/>
      <c r="JG46" s="74"/>
      <c r="JH46" s="74"/>
      <c r="JI46" s="74"/>
      <c r="JJ46" s="74"/>
      <c r="JK46" s="74"/>
      <c r="JL46" s="74"/>
      <c r="JM46" s="74"/>
      <c r="JN46" s="74"/>
      <c r="JO46" s="74"/>
      <c r="JP46" s="74"/>
      <c r="JQ46" s="74"/>
      <c r="JR46" s="74"/>
      <c r="JS46" s="74"/>
      <c r="JT46" s="74"/>
      <c r="JU46" s="74"/>
      <c r="JV46" s="74"/>
      <c r="JW46" s="74"/>
      <c r="JX46" s="74"/>
      <c r="JY46" s="74"/>
      <c r="JZ46" s="74"/>
      <c r="KA46" s="74"/>
      <c r="KB46" s="74"/>
      <c r="KC46" s="74"/>
      <c r="KD46" s="74"/>
      <c r="KE46" s="74"/>
      <c r="KF46" s="74"/>
      <c r="KG46" s="74"/>
      <c r="KH46" s="74"/>
      <c r="KI46" s="74"/>
      <c r="KJ46" s="74"/>
      <c r="KK46" s="74"/>
      <c r="KL46" s="74"/>
      <c r="KM46" s="74"/>
      <c r="KN46" s="74"/>
      <c r="KO46" s="74"/>
      <c r="KP46" s="74"/>
      <c r="KQ46" s="74"/>
      <c r="KR46" s="74"/>
      <c r="KS46" s="74"/>
      <c r="KT46" s="74"/>
      <c r="KU46" s="74"/>
      <c r="KV46" s="74"/>
      <c r="KW46" s="74"/>
      <c r="KX46" s="74"/>
      <c r="KY46" s="74"/>
      <c r="KZ46" s="74"/>
      <c r="LA46" s="74"/>
      <c r="LB46" s="74"/>
      <c r="LC46" s="74"/>
      <c r="LD46" s="74"/>
      <c r="LE46" s="74"/>
      <c r="LF46" s="74"/>
      <c r="LG46" s="74"/>
      <c r="LH46" s="74"/>
      <c r="LI46" s="74"/>
      <c r="LJ46" s="74"/>
      <c r="LK46" s="74"/>
      <c r="LL46" s="74"/>
      <c r="LM46" s="74"/>
      <c r="LN46" s="74"/>
      <c r="LO46" s="74"/>
      <c r="LP46" s="74"/>
      <c r="LQ46" s="74"/>
      <c r="LR46" s="74"/>
      <c r="LS46" s="74"/>
      <c r="LT46" s="74"/>
      <c r="LU46" s="74"/>
      <c r="LV46" s="74"/>
      <c r="LW46" s="74"/>
      <c r="LX46" s="74"/>
      <c r="LY46" s="74"/>
      <c r="LZ46" s="74"/>
      <c r="MA46" s="74"/>
      <c r="MB46" s="74"/>
      <c r="MC46" s="74"/>
      <c r="MD46" s="74"/>
      <c r="ME46" s="74"/>
      <c r="MF46" s="74"/>
      <c r="MG46" s="74"/>
      <c r="MH46" s="74"/>
      <c r="MI46" s="74"/>
      <c r="MJ46" s="74"/>
      <c r="MK46" s="74"/>
      <c r="ML46" s="74"/>
      <c r="MM46" s="74"/>
      <c r="MN46" s="74"/>
      <c r="MO46" s="74"/>
      <c r="MP46" s="74"/>
      <c r="MQ46" s="74"/>
      <c r="MR46" s="74"/>
      <c r="MS46" s="74"/>
      <c r="MT46" s="74"/>
    </row>
    <row r="47" spans="1:358" s="13" customFormat="1" ht="14" thickBot="1">
      <c r="A47" s="74"/>
      <c r="B47" s="344">
        <f t="shared" si="5"/>
        <v>5</v>
      </c>
      <c r="C47" s="344" t="str">
        <f t="shared" si="5"/>
        <v>Urban West</v>
      </c>
      <c r="D47" s="345"/>
      <c r="E47" s="346">
        <f t="shared" si="6"/>
        <v>1044.4000000000001</v>
      </c>
      <c r="F47" s="346">
        <v>1044.4000000000001</v>
      </c>
      <c r="G47" s="346">
        <v>1044.4000000000001</v>
      </c>
      <c r="H47" s="346">
        <v>1044.4000000000001</v>
      </c>
      <c r="I47" s="346">
        <v>1044.4000000000001</v>
      </c>
      <c r="J47" s="346">
        <f t="shared" si="7"/>
        <v>580</v>
      </c>
      <c r="K47" s="346">
        <v>580</v>
      </c>
      <c r="L47" s="346">
        <v>580</v>
      </c>
      <c r="M47" s="346">
        <v>580</v>
      </c>
      <c r="N47" s="346">
        <v>580</v>
      </c>
      <c r="O47" s="346"/>
      <c r="P47" s="346"/>
      <c r="Q47" s="346"/>
      <c r="R47" s="346"/>
      <c r="S47" s="346"/>
      <c r="T47" s="346"/>
      <c r="U47" s="346"/>
      <c r="V47" s="346"/>
      <c r="W47" s="346"/>
      <c r="X47" s="346"/>
      <c r="Y47" s="346"/>
      <c r="Z47" s="346"/>
      <c r="AA47" s="346"/>
      <c r="AB47" s="346"/>
      <c r="AC47" s="346"/>
      <c r="AD47" s="346"/>
      <c r="AE47" s="346"/>
      <c r="AF47" s="346"/>
      <c r="AG47" s="346"/>
      <c r="AH47" s="347"/>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c r="IT47" s="74"/>
      <c r="IU47" s="74"/>
      <c r="IV47" s="74"/>
      <c r="IW47" s="74"/>
      <c r="IX47" s="74"/>
      <c r="IY47" s="74"/>
      <c r="IZ47" s="74"/>
      <c r="JA47" s="74"/>
      <c r="JB47" s="74"/>
      <c r="JC47" s="74"/>
      <c r="JD47" s="74"/>
      <c r="JE47" s="74"/>
      <c r="JF47" s="74"/>
      <c r="JG47" s="74"/>
      <c r="JH47" s="74"/>
      <c r="JI47" s="74"/>
      <c r="JJ47" s="74"/>
      <c r="JK47" s="74"/>
      <c r="JL47" s="74"/>
      <c r="JM47" s="74"/>
      <c r="JN47" s="74"/>
      <c r="JO47" s="74"/>
      <c r="JP47" s="74"/>
      <c r="JQ47" s="74"/>
      <c r="JR47" s="74"/>
      <c r="JS47" s="74"/>
      <c r="JT47" s="74"/>
      <c r="JU47" s="74"/>
      <c r="JV47" s="74"/>
      <c r="JW47" s="74"/>
      <c r="JX47" s="74"/>
      <c r="JY47" s="74"/>
      <c r="JZ47" s="74"/>
      <c r="KA47" s="74"/>
      <c r="KB47" s="74"/>
      <c r="KC47" s="74"/>
      <c r="KD47" s="74"/>
      <c r="KE47" s="74"/>
      <c r="KF47" s="74"/>
      <c r="KG47" s="74"/>
      <c r="KH47" s="74"/>
      <c r="KI47" s="74"/>
      <c r="KJ47" s="74"/>
      <c r="KK47" s="74"/>
      <c r="KL47" s="74"/>
      <c r="KM47" s="74"/>
      <c r="KN47" s="74"/>
      <c r="KO47" s="74"/>
      <c r="KP47" s="74"/>
      <c r="KQ47" s="74"/>
      <c r="KR47" s="74"/>
      <c r="KS47" s="74"/>
      <c r="KT47" s="74"/>
      <c r="KU47" s="74"/>
      <c r="KV47" s="74"/>
      <c r="KW47" s="74"/>
      <c r="KX47" s="74"/>
      <c r="KY47" s="74"/>
      <c r="KZ47" s="74"/>
      <c r="LA47" s="74"/>
      <c r="LB47" s="74"/>
      <c r="LC47" s="74"/>
      <c r="LD47" s="74"/>
      <c r="LE47" s="74"/>
      <c r="LF47" s="74"/>
      <c r="LG47" s="74"/>
      <c r="LH47" s="74"/>
      <c r="LI47" s="74"/>
      <c r="LJ47" s="74"/>
      <c r="LK47" s="74"/>
      <c r="LL47" s="74"/>
      <c r="LM47" s="74"/>
      <c r="LN47" s="74"/>
      <c r="LO47" s="74"/>
      <c r="LP47" s="74"/>
      <c r="LQ47" s="74"/>
      <c r="LR47" s="74"/>
      <c r="LS47" s="74"/>
      <c r="LT47" s="74"/>
      <c r="LU47" s="74"/>
      <c r="LV47" s="74"/>
      <c r="LW47" s="74"/>
      <c r="LX47" s="74"/>
      <c r="LY47" s="74"/>
      <c r="LZ47" s="74"/>
      <c r="MA47" s="74"/>
      <c r="MB47" s="74"/>
      <c r="MC47" s="74"/>
      <c r="MD47" s="74"/>
      <c r="ME47" s="74"/>
      <c r="MF47" s="74"/>
      <c r="MG47" s="74"/>
      <c r="MH47" s="74"/>
      <c r="MI47" s="74"/>
      <c r="MJ47" s="74"/>
      <c r="MK47" s="74"/>
      <c r="ML47" s="74"/>
      <c r="MM47" s="74"/>
      <c r="MN47" s="74"/>
      <c r="MO47" s="74"/>
      <c r="MP47" s="74"/>
      <c r="MQ47" s="74"/>
      <c r="MR47" s="74"/>
      <c r="MS47" s="74"/>
      <c r="MT47" s="74"/>
    </row>
  </sheetData>
  <sheetProtection selectLockedCells="1"/>
  <mergeCells count="3">
    <mergeCell ref="B2:L2"/>
    <mergeCell ref="B3:L3"/>
    <mergeCell ref="B5:L5"/>
  </mergeCells>
  <hyperlinks>
    <hyperlink ref="A4" location="'Catchment Demand'!A1" display="Return to &quot;Catchment Demand&quot;" xr:uid="{00000000-0004-0000-1100-000000000000}"/>
  </hyperlinks>
  <pageMargins left="0.25" right="0.25" top="0.75" bottom="0.75" header="0.3" footer="0.3"/>
  <pageSetup paperSize="8" scale="49" orientation="landscape" r:id="rId1"/>
  <headerFooter>
    <oddFooter>&amp;C_x000D_&amp;1#&amp;"Arial"&amp;10&amp;KFF0000 SECURITY LABEL: OFFICIAL</oddFooter>
  </headerFooter>
  <customProperties>
    <customPr name="EpmWorksheetKeyString_GUID" r:id="rId2"/>
  </customProperties>
  <ignoredErrors>
    <ignoredError sqref="M8:M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theme="9" tint="0.39997558519241921"/>
    <pageSetUpPr fitToPage="1"/>
  </sheetPr>
  <dimension ref="A2:L15"/>
  <sheetViews>
    <sheetView zoomScale="60" zoomScaleNormal="60" workbookViewId="0">
      <selection activeCell="M34" sqref="M34"/>
    </sheetView>
  </sheetViews>
  <sheetFormatPr defaultColWidth="25.58203125" defaultRowHeight="13.5"/>
  <cols>
    <col min="1" max="1" width="6.25" style="54" customWidth="1"/>
    <col min="2" max="10" width="25.58203125" style="54"/>
    <col min="11" max="11" width="25.58203125" style="54" customWidth="1"/>
    <col min="12" max="16384" width="25.58203125" style="54"/>
  </cols>
  <sheetData>
    <row r="2" spans="1:12" s="373" customFormat="1" ht="35.25" customHeight="1" thickBot="1">
      <c r="B2" s="505" t="str">
        <f>'Navigation Pane'!B2</f>
        <v>Brisbane City Council</v>
      </c>
      <c r="C2" s="505"/>
      <c r="D2" s="505"/>
      <c r="E2" s="505"/>
      <c r="F2" s="505"/>
      <c r="G2" s="505"/>
      <c r="H2" s="505"/>
      <c r="I2" s="505"/>
      <c r="J2" s="505"/>
    </row>
    <row r="3" spans="1:12" ht="25.5" thickTop="1">
      <c r="B3" s="506"/>
      <c r="C3" s="506"/>
      <c r="D3" s="506"/>
      <c r="E3" s="506"/>
      <c r="F3" s="506"/>
      <c r="G3" s="506"/>
      <c r="H3" s="506"/>
      <c r="I3" s="506"/>
      <c r="J3" s="506"/>
    </row>
    <row r="4" spans="1:12" ht="20.25" customHeight="1">
      <c r="A4" s="55" t="s">
        <v>53</v>
      </c>
    </row>
    <row r="5" spans="1:12" s="373" customFormat="1" ht="36" customHeight="1" thickBot="1">
      <c r="A5" s="387"/>
      <c r="B5" s="505" t="s">
        <v>85</v>
      </c>
      <c r="C5" s="505"/>
      <c r="D5" s="505"/>
      <c r="E5" s="505"/>
      <c r="F5" s="505"/>
      <c r="G5" s="505"/>
      <c r="H5" s="505"/>
      <c r="I5" s="505"/>
      <c r="J5" s="505"/>
    </row>
    <row r="6" spans="1:12" ht="19.5" customHeight="1" thickTop="1" thickBot="1"/>
    <row r="7" spans="1:12" ht="21" customHeight="1" thickBot="1">
      <c r="B7" s="507" t="s">
        <v>60</v>
      </c>
      <c r="C7" s="509"/>
      <c r="D7" s="507" t="s">
        <v>61</v>
      </c>
      <c r="E7" s="508"/>
      <c r="F7" s="509"/>
      <c r="G7" s="507" t="s">
        <v>133</v>
      </c>
      <c r="H7" s="508"/>
      <c r="I7" s="509"/>
      <c r="J7" s="510" t="s">
        <v>134</v>
      </c>
      <c r="K7" s="510" t="s">
        <v>135</v>
      </c>
    </row>
    <row r="8" spans="1:12" ht="30" customHeight="1" thickBot="1">
      <c r="B8" s="355" t="s">
        <v>55</v>
      </c>
      <c r="C8" s="355" t="s">
        <v>68</v>
      </c>
      <c r="D8" s="355" t="s">
        <v>64</v>
      </c>
      <c r="E8" s="355" t="s">
        <v>63</v>
      </c>
      <c r="F8" s="355" t="s">
        <v>62</v>
      </c>
      <c r="G8" s="355" t="s">
        <v>65</v>
      </c>
      <c r="H8" s="355" t="s">
        <v>66</v>
      </c>
      <c r="I8" s="355" t="s">
        <v>67</v>
      </c>
      <c r="J8" s="511"/>
      <c r="K8" s="511"/>
    </row>
    <row r="9" spans="1:12" ht="35" thickBot="1">
      <c r="B9" s="502" t="s">
        <v>138</v>
      </c>
      <c r="C9" s="503"/>
      <c r="D9" s="503"/>
      <c r="E9" s="503"/>
      <c r="F9" s="503"/>
      <c r="G9" s="503"/>
      <c r="H9" s="503"/>
      <c r="I9" s="503"/>
      <c r="J9" s="503"/>
      <c r="K9" s="504"/>
      <c r="L9" s="342"/>
    </row>
    <row r="10" spans="1:12">
      <c r="B10" s="61">
        <f>'Catchment Demand -LFCF'!B43</f>
        <v>1</v>
      </c>
      <c r="C10" s="62" t="str">
        <f>'Catchment Demand -LFCF'!C43</f>
        <v>Fringe</v>
      </c>
      <c r="D10" s="44">
        <f>IFERROR(VLOOKUP($C10,'Catchment Demand -LFCF'!$C$8:$J$37,2,FALSE),"")</f>
        <v>18971</v>
      </c>
      <c r="E10" s="45">
        <f>IFERROR(VLOOKUP($C10,'Catchment Demand -LFCF'!$C$8:$J$37,8,FALSE),"")</f>
        <v>1012.1705305695717</v>
      </c>
      <c r="F10" s="47">
        <f>IFERROR(D10+E10,"")</f>
        <v>19983.170530569572</v>
      </c>
      <c r="G10" s="106">
        <v>1158168</v>
      </c>
      <c r="H10" s="107">
        <f>HLOOKUP(C10,'Future Trunk Assets - LFCF'!$AY$12:$BC$14,3,FALSE)</f>
        <v>354876.14362832252</v>
      </c>
      <c r="I10" s="107">
        <f>G10+H10</f>
        <v>1513044.1436283225</v>
      </c>
      <c r="J10" s="108">
        <f>IFERROR(I10/F10,0)</f>
        <v>75.71592011956858</v>
      </c>
      <c r="K10" s="108">
        <f>H10/E10</f>
        <v>350.60904552183069</v>
      </c>
    </row>
    <row r="11" spans="1:12">
      <c r="B11" s="56">
        <f>'Catchment Demand -LFCF'!B44</f>
        <v>2</v>
      </c>
      <c r="C11" s="57" t="str">
        <f>'Catchment Demand -LFCF'!C44</f>
        <v>Urban East</v>
      </c>
      <c r="D11" s="48">
        <f>IFERROR(VLOOKUP($C11,'Catchment Demand -LFCF'!$C$8:$J$37,2,FALSE),"")</f>
        <v>261140</v>
      </c>
      <c r="E11" s="46">
        <f>IFERROR(VLOOKUP($C11,'Catchment Demand -LFCF'!$C$8:$J$37,8,FALSE),"")</f>
        <v>15577.281233227377</v>
      </c>
      <c r="F11" s="49">
        <f t="shared" ref="F11:F14" si="0">IFERROR(D11+E11,"")</f>
        <v>276717.2812332274</v>
      </c>
      <c r="G11" s="39">
        <v>25094533</v>
      </c>
      <c r="H11" s="40">
        <f>HLOOKUP(C11,'Future Trunk Assets - LFCF'!$AY$12:$BC$14,3,FALSE)</f>
        <v>4943116.2067737943</v>
      </c>
      <c r="I11" s="40">
        <f t="shared" ref="I11:I14" si="1">G11+H11</f>
        <v>30037649.206773795</v>
      </c>
      <c r="J11" s="41">
        <f t="shared" ref="J11:J14" si="2">IFERROR(I11/F11,0)</f>
        <v>108.54995782304239</v>
      </c>
      <c r="K11" s="41">
        <f t="shared" ref="K11:K14" si="3">H11/E11</f>
        <v>317.32855899332412</v>
      </c>
    </row>
    <row r="12" spans="1:12">
      <c r="B12" s="56">
        <f>'Catchment Demand -LFCF'!B45</f>
        <v>3</v>
      </c>
      <c r="C12" s="57" t="str">
        <f>'Catchment Demand -LFCF'!C45</f>
        <v>Urban North</v>
      </c>
      <c r="D12" s="48">
        <f>IFERROR(VLOOKUP($C12,'Catchment Demand -LFCF'!$C$8:$J$37,2,FALSE),"")</f>
        <v>364760</v>
      </c>
      <c r="E12" s="46">
        <f>IFERROR(VLOOKUP($C12,'Catchment Demand -LFCF'!$C$8:$J$37,8,FALSE),"")</f>
        <v>36296.82244691869</v>
      </c>
      <c r="F12" s="49">
        <f t="shared" si="0"/>
        <v>401056.8224469187</v>
      </c>
      <c r="G12" s="39">
        <v>29860388</v>
      </c>
      <c r="H12" s="40">
        <f>HLOOKUP(C12,'Future Trunk Assets - LFCF'!$AY$12:$BC$14,3,FALSE)</f>
        <v>10685018.71248138</v>
      </c>
      <c r="I12" s="40">
        <f t="shared" si="1"/>
        <v>40545406.71248138</v>
      </c>
      <c r="J12" s="41">
        <f t="shared" si="2"/>
        <v>101.09641438115096</v>
      </c>
      <c r="K12" s="41">
        <f t="shared" si="3"/>
        <v>294.37890129659138</v>
      </c>
    </row>
    <row r="13" spans="1:12">
      <c r="B13" s="56">
        <f>'Catchment Demand -LFCF'!B46</f>
        <v>4</v>
      </c>
      <c r="C13" s="57" t="str">
        <f>'Catchment Demand -LFCF'!C46</f>
        <v>Urban South</v>
      </c>
      <c r="D13" s="48">
        <f>IFERROR(VLOOKUP($C13,'Catchment Demand -LFCF'!$C$8:$J$37,2,FALSE),"")</f>
        <v>348928</v>
      </c>
      <c r="E13" s="46">
        <f>IFERROR(VLOOKUP($C13,'Catchment Demand -LFCF'!$C$8:$J$37,8,FALSE),"")</f>
        <v>34737.03994962381</v>
      </c>
      <c r="F13" s="49">
        <f t="shared" si="0"/>
        <v>383665.03994962381</v>
      </c>
      <c r="G13" s="39">
        <v>28076946</v>
      </c>
      <c r="H13" s="40">
        <f>HLOOKUP(C13,'Future Trunk Assets - LFCF'!$AY$12:$BC$14,3,FALSE)</f>
        <v>9208230.4604596812</v>
      </c>
      <c r="I13" s="40">
        <f t="shared" si="1"/>
        <v>37285176.460459679</v>
      </c>
      <c r="J13" s="41">
        <f t="shared" si="2"/>
        <v>97.181584398086727</v>
      </c>
      <c r="K13" s="41">
        <f t="shared" si="3"/>
        <v>265.08391255598053</v>
      </c>
    </row>
    <row r="14" spans="1:12" ht="14" thickBot="1">
      <c r="B14" s="56">
        <f>'Catchment Demand -LFCF'!B47</f>
        <v>5</v>
      </c>
      <c r="C14" s="57" t="str">
        <f>'Catchment Demand -LFCF'!C47</f>
        <v>Urban West</v>
      </c>
      <c r="D14" s="48">
        <f>IFERROR(VLOOKUP($C14,'Catchment Demand -LFCF'!$C$8:$J$37,2,FALSE),"")</f>
        <v>242606</v>
      </c>
      <c r="E14" s="46">
        <f>IFERROR(VLOOKUP($C14,'Catchment Demand -LFCF'!$C$8:$J$37,8,FALSE),"")</f>
        <v>6248.1325137318499</v>
      </c>
      <c r="F14" s="49">
        <f t="shared" si="0"/>
        <v>248854.13251373186</v>
      </c>
      <c r="G14" s="39">
        <v>24742502</v>
      </c>
      <c r="H14" s="40">
        <f>HLOOKUP(C14,'Future Trunk Assets - LFCF'!$AY$12:$BC$14,3,FALSE)</f>
        <v>4382043.1292608613</v>
      </c>
      <c r="I14" s="40">
        <f t="shared" si="1"/>
        <v>29124545.12926086</v>
      </c>
      <c r="J14" s="41">
        <f t="shared" si="2"/>
        <v>117.03460511210822</v>
      </c>
      <c r="K14" s="41">
        <f t="shared" si="3"/>
        <v>701.33645847462651</v>
      </c>
    </row>
    <row r="15" spans="1:12" ht="14" thickBot="1">
      <c r="B15" s="58"/>
      <c r="C15" s="59" t="s">
        <v>45</v>
      </c>
      <c r="D15" s="42">
        <f t="shared" ref="D15:I15" si="4">SUM(D10:D14)</f>
        <v>1236405</v>
      </c>
      <c r="E15" s="42">
        <f t="shared" si="4"/>
        <v>93871.446674071296</v>
      </c>
      <c r="F15" s="42">
        <f t="shared" si="4"/>
        <v>1330276.4466740715</v>
      </c>
      <c r="G15" s="43">
        <f t="shared" si="4"/>
        <v>108932537</v>
      </c>
      <c r="H15" s="43">
        <f t="shared" si="4"/>
        <v>29573284.652604036</v>
      </c>
      <c r="I15" s="43">
        <f t="shared" si="4"/>
        <v>138505821.65260404</v>
      </c>
      <c r="J15" s="60"/>
      <c r="K15" s="60"/>
    </row>
  </sheetData>
  <sheetProtection selectLockedCells="1"/>
  <mergeCells count="9">
    <mergeCell ref="B9:K9"/>
    <mergeCell ref="B2:J2"/>
    <mergeCell ref="B3:J3"/>
    <mergeCell ref="B5:J5"/>
    <mergeCell ref="D7:F7"/>
    <mergeCell ref="G7:I7"/>
    <mergeCell ref="B7:C7"/>
    <mergeCell ref="K7:K8"/>
    <mergeCell ref="J7:J8"/>
  </mergeCells>
  <hyperlinks>
    <hyperlink ref="A4" location="'Navigation Pane'!A1" display="Return to Navigation Pane" xr:uid="{00000000-0004-0000-1200-000000000000}"/>
  </hyperlinks>
  <pageMargins left="0.25" right="0.25" top="0.75" bottom="0.75" header="0.3" footer="0.3"/>
  <pageSetup paperSize="8" scale="71" orientation="landscape" r:id="rId1"/>
  <headerFooter>
    <oddFooter>&amp;C_x000D_&amp;1#&amp;"Arial"&amp;10&amp;KFF0000 SECURITY LABEL: OFFICIAL</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28</vt:i4>
      </vt:variant>
    </vt:vector>
  </HeadingPairs>
  <TitlesOfParts>
    <vt:vector size="35" baseType="lpstr">
      <vt:lpstr>Navigation Pane</vt:lpstr>
      <vt:lpstr>General Input Sheet</vt:lpstr>
      <vt:lpstr>Exist Trunk Assets - LFCF1</vt:lpstr>
      <vt:lpstr>Exist Trunk Assets - LFCF</vt:lpstr>
      <vt:lpstr>Future Trunk Assets - LFCF</vt:lpstr>
      <vt:lpstr>Catchment Demand -LFCF</vt:lpstr>
      <vt:lpstr>Summary Cost Schedule</vt:lpstr>
      <vt:lpstr>AssetBeta</vt:lpstr>
      <vt:lpstr>CapStr</vt:lpstr>
      <vt:lpstr>'Catchment Demand -LFCF'!CatchName</vt:lpstr>
      <vt:lpstr>Chargeind</vt:lpstr>
      <vt:lpstr>Debt</vt:lpstr>
      <vt:lpstr>Histindex</vt:lpstr>
      <vt:lpstr>'Catchment Demand -LFCF'!ICSInf</vt:lpstr>
      <vt:lpstr>ICSInf</vt:lpstr>
      <vt:lpstr>Landind</vt:lpstr>
      <vt:lpstr>MArgin</vt:lpstr>
      <vt:lpstr>Parkscatch</vt:lpstr>
      <vt:lpstr>parkslandcode</vt:lpstr>
      <vt:lpstr>PPI</vt:lpstr>
      <vt:lpstr>'Catchment Demand -LFCF'!Print_Area</vt:lpstr>
      <vt:lpstr>'Exist Trunk Assets - LFCF'!Print_Area</vt:lpstr>
      <vt:lpstr>'Exist Trunk Assets - LFCF1'!Print_Area</vt:lpstr>
      <vt:lpstr>'Future Trunk Assets - LFCF'!Print_Area</vt:lpstr>
      <vt:lpstr>'General Input Sheet'!Print_Area</vt:lpstr>
      <vt:lpstr>'Navigation Pane'!Print_Area</vt:lpstr>
      <vt:lpstr>'Summary Cost Schedule'!Print_Area</vt:lpstr>
      <vt:lpstr>'Exist Trunk Assets - LFCF1'!Print_Titles</vt:lpstr>
      <vt:lpstr>Risk</vt:lpstr>
      <vt:lpstr>'Catchment Demand -LFCF'!SENS</vt:lpstr>
      <vt:lpstr>TENYr</vt:lpstr>
      <vt:lpstr>WACC</vt:lpstr>
      <vt:lpstr>WACC1</vt:lpstr>
      <vt:lpstr>WACC2</vt:lpstr>
      <vt:lpstr>YEAR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2021-10-13T02:12:46Z</cp:lastPrinted>
  <dcterms:created xsi:type="dcterms:W3CDTF">2013-05-16T00:59:14Z</dcterms:created>
  <dcterms:modified xsi:type="dcterms:W3CDTF">2025-05-15T05:17:14Z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2025-05-15T05:17:12Z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cdf194ae-703d-47d1-9e99-e3854cf2587d</vt:lpwstr>
  </property>
  <property fmtid="{D5CDD505-2E9C-101B-9397-08002B2CF9AE}" pid="8" name="MSIP_Label_8b1ee035-5707-4242-a1ea-c505f8033d0a_ContentBits">
    <vt:lpwstr>2</vt:lpwstr>
  </property>
</Properties>
</file>